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codeName="BuÇalışmaKitabı" hidePivotFieldList="1"/>
  <mc:AlternateContent xmlns:mc="http://schemas.openxmlformats.org/markup-compatibility/2006">
    <mc:Choice Requires="x15">
      <x15ac:absPath xmlns:x15ac="http://schemas.microsoft.com/office/spreadsheetml/2010/11/ac" url="C:\Users\ekucuk\Downloads\"/>
    </mc:Choice>
  </mc:AlternateContent>
  <xr:revisionPtr revIDLastSave="0" documentId="13_ncr:1_{25EA1B98-A4B2-4957-A736-FB1B4F0F8893}" xr6:coauthVersionLast="36" xr6:coauthVersionMax="36" xr10:uidLastSave="{00000000-0000-0000-0000-000000000000}"/>
  <bookViews>
    <workbookView xWindow="0" yWindow="0" windowWidth="23040" windowHeight="9780" tabRatio="920" firstSheet="1" activeTab="4" xr2:uid="{00000000-000D-0000-FFFF-FFFF00000000}"/>
  </bookViews>
  <sheets>
    <sheet name="Listeler" sheetId="47" state="hidden" r:id="rId1"/>
    <sheet name="Sayfa1" sheetId="53" r:id="rId2"/>
    <sheet name="Veri_Duruş" sheetId="46" r:id="rId3"/>
    <sheet name="Veri" sheetId="16" r:id="rId4"/>
    <sheet name="Tablo" sheetId="18" r:id="rId5"/>
    <sheet name="Verimlilik" sheetId="21" r:id="rId6"/>
    <sheet name="Net İşçilik Kapasite Kaybı" sheetId="49" r:id="rId7"/>
    <sheet name="Açıklanamayan Süre" sheetId="50" r:id="rId8"/>
    <sheet name="Verimlilik Analizi" sheetId="29" r:id="rId9"/>
    <sheet name="Kapasite Analizi" sheetId="51" r:id="rId10"/>
    <sheet name="Açıklanamayan" sheetId="52" r:id="rId11"/>
    <sheet name="Fazla Mesai Direk" sheetId="55" state="hidden" r:id="rId12"/>
    <sheet name="Fazla Mesai Endirek" sheetId="56" state="hidden" r:id="rId13"/>
    <sheet name="Duruşlar" sheetId="48" r:id="rId14"/>
    <sheet name="Fazla Mesai %" sheetId="54" state="hidden" r:id="rId15"/>
    <sheet name="Fazla Mesai" sheetId="57" state="hidden" r:id="rId16"/>
  </sheets>
  <externalReferences>
    <externalReference r:id="rId17"/>
    <externalReference r:id="rId18"/>
  </externalReferences>
  <definedNames>
    <definedName name="_xlnm._FilterDatabase" localSheetId="1" hidden="1">Sayfa1!$AI$98:$AK$99</definedName>
    <definedName name="A" localSheetId="14">#REF!</definedName>
    <definedName name="A" localSheetId="11">#REF!</definedName>
    <definedName name="A" localSheetId="12">#REF!</definedName>
    <definedName name="A">#REF!</definedName>
    <definedName name="Dilimleyici_Birim">#N/A</definedName>
    <definedName name="Dilimleyici_Bölüm">#N/A</definedName>
    <definedName name="_xlnm.Print_Area" localSheetId="7">'Açıklanamayan Süre'!$A$1:$AB$32</definedName>
    <definedName name="_xlnm.Print_Area" localSheetId="6">'Net İşçilik Kapasite Kaybı'!$A$1:$AA$32</definedName>
    <definedName name="_xlnm.Print_Area" localSheetId="5">Verimlilik!$A$1:$AA$32</definedName>
    <definedName name="YP">[1]TALEP!$O$5</definedName>
    <definedName name="YPMZ">[2]talep!$I$7</definedName>
    <definedName name="YPR">[2]talep!$I$5</definedName>
  </definedNames>
  <calcPr calcId="191029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T135" i="16" l="1"/>
  <c r="T133" i="16"/>
  <c r="X144" i="16" l="1"/>
  <c r="X121" i="16"/>
  <c r="X139" i="16" l="1"/>
  <c r="X147" i="16" l="1"/>
  <c r="O145" i="16"/>
  <c r="O146" i="16"/>
  <c r="X146" i="16"/>
  <c r="X145" i="16"/>
  <c r="X132" i="16"/>
  <c r="T134" i="16"/>
  <c r="T147" i="16"/>
  <c r="X133" i="16" l="1"/>
  <c r="T141" i="16" l="1"/>
  <c r="T142" i="16"/>
  <c r="U872" i="53"/>
  <c r="U871" i="53"/>
  <c r="T138" i="16"/>
  <c r="T136" i="16"/>
  <c r="T137" i="16"/>
  <c r="T888" i="53"/>
  <c r="T894" i="53"/>
  <c r="V888" i="53" l="1"/>
  <c r="W888" i="53" s="1"/>
  <c r="U894" i="53"/>
  <c r="AC143" i="16" s="1"/>
  <c r="U888" i="53"/>
  <c r="AC139" i="16" s="1"/>
  <c r="U882" i="53"/>
  <c r="AC136" i="16" s="1"/>
  <c r="U881" i="53"/>
  <c r="U900" i="53"/>
  <c r="AC149" i="16" s="1"/>
  <c r="U899" i="53"/>
  <c r="AC148" i="16" s="1"/>
  <c r="U898" i="53"/>
  <c r="AC147" i="16" s="1"/>
  <c r="U897" i="53"/>
  <c r="AC146" i="16" s="1"/>
  <c r="U896" i="53"/>
  <c r="AC145" i="16" s="1"/>
  <c r="U895" i="53"/>
  <c r="AC144" i="16" s="1"/>
  <c r="U891" i="53"/>
  <c r="AC142" i="16" s="1"/>
  <c r="U890" i="53"/>
  <c r="AC141" i="16" s="1"/>
  <c r="U889" i="53"/>
  <c r="AC140" i="16" s="1"/>
  <c r="U884" i="53"/>
  <c r="AC138" i="16" s="1"/>
  <c r="U883" i="53"/>
  <c r="AC137" i="16" s="1"/>
  <c r="AA900" i="53"/>
  <c r="Y900" i="53"/>
  <c r="W900" i="53"/>
  <c r="S900" i="53"/>
  <c r="Q900" i="53"/>
  <c r="O900" i="53"/>
  <c r="M900" i="53"/>
  <c r="K900" i="53"/>
  <c r="I900" i="53"/>
  <c r="G900" i="53"/>
  <c r="E900" i="53"/>
  <c r="AA899" i="53"/>
  <c r="Y899" i="53"/>
  <c r="W899" i="53"/>
  <c r="S899" i="53"/>
  <c r="Q899" i="53"/>
  <c r="O899" i="53"/>
  <c r="M899" i="53"/>
  <c r="K899" i="53"/>
  <c r="I899" i="53"/>
  <c r="G899" i="53"/>
  <c r="E899" i="53"/>
  <c r="AA898" i="53"/>
  <c r="Y898" i="53"/>
  <c r="W898" i="53"/>
  <c r="S898" i="53"/>
  <c r="Q898" i="53"/>
  <c r="O898" i="53"/>
  <c r="M898" i="53"/>
  <c r="K898" i="53"/>
  <c r="I898" i="53"/>
  <c r="G898" i="53"/>
  <c r="E898" i="53"/>
  <c r="AA897" i="53"/>
  <c r="Y897" i="53"/>
  <c r="W897" i="53"/>
  <c r="S897" i="53"/>
  <c r="Q897" i="53"/>
  <c r="O897" i="53"/>
  <c r="M897" i="53"/>
  <c r="K897" i="53"/>
  <c r="I897" i="53"/>
  <c r="G897" i="53"/>
  <c r="E897" i="53"/>
  <c r="AA896" i="53"/>
  <c r="Y896" i="53"/>
  <c r="W896" i="53"/>
  <c r="S896" i="53"/>
  <c r="Q896" i="53"/>
  <c r="O896" i="53"/>
  <c r="M896" i="53"/>
  <c r="K896" i="53"/>
  <c r="I896" i="53"/>
  <c r="G896" i="53"/>
  <c r="E896" i="53"/>
  <c r="S895" i="53"/>
  <c r="Q895" i="53"/>
  <c r="O895" i="53"/>
  <c r="Z894" i="53"/>
  <c r="AA894" i="53" s="1"/>
  <c r="X894" i="53"/>
  <c r="Y894" i="53" s="1"/>
  <c r="V894" i="53"/>
  <c r="W894" i="53" s="1"/>
  <c r="R894" i="53"/>
  <c r="S894" i="53" s="1"/>
  <c r="P894" i="53"/>
  <c r="Q894" i="53" s="1"/>
  <c r="N894" i="53"/>
  <c r="O894" i="53" s="1"/>
  <c r="L894" i="53"/>
  <c r="M894" i="53" s="1"/>
  <c r="J894" i="53"/>
  <c r="K894" i="53" s="1"/>
  <c r="H894" i="53"/>
  <c r="I894" i="53" s="1"/>
  <c r="D894" i="53"/>
  <c r="E894" i="53" s="1"/>
  <c r="G893" i="53"/>
  <c r="E893" i="53"/>
  <c r="G892" i="53"/>
  <c r="E892" i="53"/>
  <c r="AA891" i="53"/>
  <c r="Y891" i="53"/>
  <c r="W891" i="53"/>
  <c r="S891" i="53"/>
  <c r="Q891" i="53"/>
  <c r="O891" i="53"/>
  <c r="M891" i="53"/>
  <c r="K891" i="53"/>
  <c r="I891" i="53"/>
  <c r="G891" i="53"/>
  <c r="E891" i="53"/>
  <c r="AA890" i="53"/>
  <c r="Y890" i="53"/>
  <c r="W890" i="53"/>
  <c r="S890" i="53"/>
  <c r="Q890" i="53"/>
  <c r="O890" i="53"/>
  <c r="M890" i="53"/>
  <c r="K890" i="53"/>
  <c r="I890" i="53"/>
  <c r="G890" i="53"/>
  <c r="E890" i="53"/>
  <c r="Q889" i="53"/>
  <c r="O889" i="53"/>
  <c r="Z888" i="53"/>
  <c r="AA888" i="53" s="1"/>
  <c r="X888" i="53"/>
  <c r="Y888" i="53" s="1"/>
  <c r="R888" i="53"/>
  <c r="S888" i="53" s="1"/>
  <c r="P888" i="53"/>
  <c r="Q888" i="53" s="1"/>
  <c r="N888" i="53"/>
  <c r="O888" i="53" s="1"/>
  <c r="S884" i="53"/>
  <c r="Q884" i="53"/>
  <c r="O884" i="53"/>
  <c r="S883" i="53"/>
  <c r="Q883" i="53"/>
  <c r="O883" i="53"/>
  <c r="S882" i="53"/>
  <c r="Q882" i="53"/>
  <c r="O882" i="53"/>
  <c r="AA881" i="53"/>
  <c r="Y881" i="53"/>
  <c r="W881" i="53"/>
  <c r="S881" i="53"/>
  <c r="Q881" i="53"/>
  <c r="O881" i="53"/>
  <c r="M881" i="53"/>
  <c r="K881" i="53"/>
  <c r="I881" i="53"/>
  <c r="G881" i="53"/>
  <c r="E881" i="53"/>
  <c r="AJ879" i="53"/>
  <c r="S872" i="53" s="1"/>
  <c r="S889" i="53" s="1"/>
  <c r="Q873" i="53"/>
  <c r="G873" i="53"/>
  <c r="M872" i="53"/>
  <c r="K872" i="53"/>
  <c r="I872" i="53"/>
  <c r="E872" i="53"/>
  <c r="S871" i="53"/>
  <c r="M871" i="53"/>
  <c r="K871" i="53"/>
  <c r="I871" i="53"/>
  <c r="E871" i="53"/>
  <c r="M870" i="53"/>
  <c r="K870" i="53"/>
  <c r="I870" i="53"/>
  <c r="E870" i="53"/>
  <c r="M869" i="53"/>
  <c r="K869" i="53"/>
  <c r="I869" i="53"/>
  <c r="E869" i="53"/>
  <c r="M868" i="53"/>
  <c r="K868" i="53"/>
  <c r="I868" i="53"/>
  <c r="E868" i="53"/>
  <c r="M867" i="53"/>
  <c r="K867" i="53"/>
  <c r="I867" i="53"/>
  <c r="E867" i="53"/>
  <c r="S863" i="53"/>
  <c r="N863" i="53"/>
  <c r="I863" i="53"/>
  <c r="D863" i="53"/>
  <c r="M873" i="53" l="1"/>
  <c r="S867" i="53"/>
  <c r="T867" i="53"/>
  <c r="U867" i="53" s="1"/>
  <c r="AC132" i="16" s="1"/>
  <c r="S869" i="53"/>
  <c r="T869" i="53"/>
  <c r="U869" i="53" s="1"/>
  <c r="AC134" i="16" s="1"/>
  <c r="S870" i="53"/>
  <c r="T870" i="53"/>
  <c r="U870" i="53" s="1"/>
  <c r="AC135" i="16" s="1"/>
  <c r="S868" i="53"/>
  <c r="T868" i="53"/>
  <c r="U868" i="53" s="1"/>
  <c r="AC133" i="16" s="1"/>
  <c r="E873" i="53"/>
  <c r="I873" i="53"/>
  <c r="K873" i="53"/>
  <c r="O121" i="16"/>
  <c r="O120" i="16"/>
  <c r="T118" i="16"/>
  <c r="T117" i="16"/>
  <c r="R786" i="53"/>
  <c r="R780" i="53"/>
  <c r="Q808" i="53"/>
  <c r="Q812" i="53"/>
  <c r="Q806" i="53"/>
  <c r="U815" i="53"/>
  <c r="U816" i="53"/>
  <c r="Q809" i="53"/>
  <c r="S873" i="53" l="1"/>
  <c r="U873" i="53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68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7" i="16"/>
  <c r="O148" i="16"/>
  <c r="O149" i="16"/>
  <c r="O131" i="16"/>
  <c r="O132" i="16"/>
  <c r="O130" i="16"/>
  <c r="O128" i="16" l="1"/>
  <c r="O129" i="16"/>
  <c r="X129" i="16" l="1"/>
  <c r="X128" i="16"/>
  <c r="X127" i="16"/>
  <c r="AJ771" i="53" l="1"/>
  <c r="R764" i="53" s="1"/>
  <c r="S764" i="53" s="1"/>
  <c r="S781" i="53" s="1"/>
  <c r="AC122" i="16" s="1"/>
  <c r="S787" i="53"/>
  <c r="AC126" i="16" s="1"/>
  <c r="AA120" i="16"/>
  <c r="Y120" i="16"/>
  <c r="V120" i="16"/>
  <c r="T120" i="16"/>
  <c r="R120" i="16"/>
  <c r="S774" i="53"/>
  <c r="S775" i="53"/>
  <c r="S776" i="53"/>
  <c r="Q774" i="53"/>
  <c r="S792" i="53"/>
  <c r="AC131" i="16" s="1"/>
  <c r="S790" i="53"/>
  <c r="AC129" i="16" s="1"/>
  <c r="S789" i="53"/>
  <c r="AC128" i="16" s="1"/>
  <c r="S788" i="53"/>
  <c r="AC127" i="16" s="1"/>
  <c r="S783" i="53"/>
  <c r="AC124" i="16" s="1"/>
  <c r="S782" i="53"/>
  <c r="AC123" i="16" s="1"/>
  <c r="S773" i="53"/>
  <c r="AA792" i="53"/>
  <c r="Y792" i="53"/>
  <c r="W792" i="53"/>
  <c r="U792" i="53"/>
  <c r="Q792" i="53"/>
  <c r="O792" i="53"/>
  <c r="M792" i="53"/>
  <c r="K792" i="53"/>
  <c r="I792" i="53"/>
  <c r="G792" i="53"/>
  <c r="E792" i="53"/>
  <c r="AA791" i="53"/>
  <c r="Y791" i="53"/>
  <c r="W791" i="53"/>
  <c r="U791" i="53"/>
  <c r="S791" i="53"/>
  <c r="AC130" i="16" s="1"/>
  <c r="Q791" i="53"/>
  <c r="O791" i="53"/>
  <c r="M791" i="53"/>
  <c r="K791" i="53"/>
  <c r="I791" i="53"/>
  <c r="G791" i="53"/>
  <c r="E791" i="53"/>
  <c r="AA790" i="53"/>
  <c r="Y790" i="53"/>
  <c r="W790" i="53"/>
  <c r="U790" i="53"/>
  <c r="Q790" i="53"/>
  <c r="O790" i="53"/>
  <c r="M790" i="53"/>
  <c r="K790" i="53"/>
  <c r="I790" i="53"/>
  <c r="G790" i="53"/>
  <c r="E790" i="53"/>
  <c r="AA789" i="53"/>
  <c r="Y789" i="53"/>
  <c r="W789" i="53"/>
  <c r="U789" i="53"/>
  <c r="Q789" i="53"/>
  <c r="O789" i="53"/>
  <c r="M789" i="53"/>
  <c r="K789" i="53"/>
  <c r="I789" i="53"/>
  <c r="G789" i="53"/>
  <c r="E789" i="53"/>
  <c r="AA788" i="53"/>
  <c r="Y788" i="53"/>
  <c r="W788" i="53"/>
  <c r="U788" i="53"/>
  <c r="Q788" i="53"/>
  <c r="O788" i="53"/>
  <c r="M788" i="53"/>
  <c r="K788" i="53"/>
  <c r="I788" i="53"/>
  <c r="G788" i="53"/>
  <c r="E788" i="53"/>
  <c r="Q787" i="53"/>
  <c r="O787" i="53"/>
  <c r="Z786" i="53"/>
  <c r="AA786" i="53" s="1"/>
  <c r="X786" i="53"/>
  <c r="Y786" i="53" s="1"/>
  <c r="V786" i="53"/>
  <c r="W786" i="53" s="1"/>
  <c r="T786" i="53"/>
  <c r="U786" i="53" s="1"/>
  <c r="P786" i="53"/>
  <c r="Q786" i="53" s="1"/>
  <c r="N786" i="53"/>
  <c r="O786" i="53" s="1"/>
  <c r="L786" i="53"/>
  <c r="M786" i="53" s="1"/>
  <c r="J786" i="53"/>
  <c r="K786" i="53" s="1"/>
  <c r="H786" i="53"/>
  <c r="I786" i="53" s="1"/>
  <c r="D786" i="53"/>
  <c r="E786" i="53" s="1"/>
  <c r="G785" i="53"/>
  <c r="E785" i="53"/>
  <c r="G784" i="53"/>
  <c r="E784" i="53"/>
  <c r="AA783" i="53"/>
  <c r="Y783" i="53"/>
  <c r="W783" i="53"/>
  <c r="U783" i="53"/>
  <c r="Q783" i="53"/>
  <c r="O783" i="53"/>
  <c r="M783" i="53"/>
  <c r="K783" i="53"/>
  <c r="I783" i="53"/>
  <c r="G783" i="53"/>
  <c r="E783" i="53"/>
  <c r="AA782" i="53"/>
  <c r="Y782" i="53"/>
  <c r="W782" i="53"/>
  <c r="U782" i="53"/>
  <c r="Q782" i="53"/>
  <c r="O782" i="53"/>
  <c r="M782" i="53"/>
  <c r="K782" i="53"/>
  <c r="I782" i="53"/>
  <c r="G782" i="53"/>
  <c r="E782" i="53"/>
  <c r="O781" i="53"/>
  <c r="Z780" i="53"/>
  <c r="AA780" i="53" s="1"/>
  <c r="X780" i="53"/>
  <c r="Y780" i="53" s="1"/>
  <c r="V780" i="53"/>
  <c r="W780" i="53" s="1"/>
  <c r="T780" i="53"/>
  <c r="U780" i="53" s="1"/>
  <c r="P780" i="53"/>
  <c r="Q780" i="53" s="1"/>
  <c r="N780" i="53"/>
  <c r="O780" i="53" s="1"/>
  <c r="Q776" i="53"/>
  <c r="O776" i="53"/>
  <c r="Q775" i="53"/>
  <c r="O775" i="53"/>
  <c r="O774" i="53"/>
  <c r="AA773" i="53"/>
  <c r="Y773" i="53"/>
  <c r="W773" i="53"/>
  <c r="U773" i="53"/>
  <c r="Q773" i="53"/>
  <c r="O773" i="53"/>
  <c r="M773" i="53"/>
  <c r="K773" i="53"/>
  <c r="I773" i="53"/>
  <c r="G773" i="53"/>
  <c r="E773" i="53"/>
  <c r="G765" i="53"/>
  <c r="M764" i="53"/>
  <c r="K764" i="53"/>
  <c r="I764" i="53"/>
  <c r="E764" i="53"/>
  <c r="S763" i="53"/>
  <c r="M763" i="53"/>
  <c r="K763" i="53"/>
  <c r="I763" i="53"/>
  <c r="E763" i="53"/>
  <c r="M762" i="53"/>
  <c r="K762" i="53"/>
  <c r="I762" i="53"/>
  <c r="E762" i="53"/>
  <c r="M761" i="53"/>
  <c r="K761" i="53"/>
  <c r="I761" i="53"/>
  <c r="E761" i="53"/>
  <c r="M760" i="53"/>
  <c r="K760" i="53"/>
  <c r="I760" i="53"/>
  <c r="E760" i="53"/>
  <c r="M759" i="53"/>
  <c r="K759" i="53"/>
  <c r="I759" i="53"/>
  <c r="E759" i="53"/>
  <c r="S755" i="53"/>
  <c r="R761" i="53" s="1"/>
  <c r="S761" i="53" s="1"/>
  <c r="AC118" i="16" s="1"/>
  <c r="N755" i="53"/>
  <c r="R762" i="53" s="1"/>
  <c r="S762" i="53" s="1"/>
  <c r="AC119" i="16" s="1"/>
  <c r="I755" i="53"/>
  <c r="R759" i="53" s="1"/>
  <c r="S759" i="53" s="1"/>
  <c r="AC116" i="16" s="1"/>
  <c r="D755" i="53"/>
  <c r="R760" i="53" s="1"/>
  <c r="S760" i="53" s="1"/>
  <c r="AC117" i="16" s="1"/>
  <c r="AC120" i="16" l="1"/>
  <c r="E765" i="53"/>
  <c r="M765" i="53"/>
  <c r="I765" i="53"/>
  <c r="K765" i="53"/>
  <c r="S780" i="53"/>
  <c r="AC121" i="16" s="1"/>
  <c r="S786" i="53"/>
  <c r="AC125" i="16" s="1"/>
  <c r="S765" i="53"/>
  <c r="Q765" i="53"/>
  <c r="Q781" i="53"/>
  <c r="Y100" i="16"/>
  <c r="Y99" i="16"/>
  <c r="T100" i="16"/>
  <c r="T99" i="16"/>
  <c r="Q803" i="46" l="1"/>
  <c r="Q804" i="46"/>
  <c r="X105" i="16"/>
  <c r="X112" i="16" l="1"/>
  <c r="X111" i="16"/>
  <c r="K750" i="46"/>
  <c r="X101" i="16" l="1"/>
  <c r="X100" i="16"/>
  <c r="AJ663" i="53"/>
  <c r="P656" i="53" s="1"/>
  <c r="Q679" i="53"/>
  <c r="AC110" i="16" s="1"/>
  <c r="N110" i="16" s="1"/>
  <c r="O667" i="53"/>
  <c r="O668" i="53"/>
  <c r="Q666" i="53"/>
  <c r="AC102" i="16" s="1"/>
  <c r="N102" i="16" s="1"/>
  <c r="Q667" i="53"/>
  <c r="AC103" i="16" s="1"/>
  <c r="N103" i="16" s="1"/>
  <c r="Q668" i="53"/>
  <c r="AC104" i="16" s="1"/>
  <c r="N104" i="16" s="1"/>
  <c r="P678" i="53"/>
  <c r="Q678" i="53" s="1"/>
  <c r="AC109" i="16" s="1"/>
  <c r="N109" i="16" s="1"/>
  <c r="P672" i="53"/>
  <c r="Q672" i="53" s="1"/>
  <c r="AC105" i="16" s="1"/>
  <c r="N105" i="16" s="1"/>
  <c r="O679" i="53"/>
  <c r="N647" i="53"/>
  <c r="P654" i="53" s="1"/>
  <c r="Q654" i="53" s="1"/>
  <c r="AC101" i="16" s="1"/>
  <c r="AA684" i="53"/>
  <c r="Y684" i="53"/>
  <c r="W684" i="53"/>
  <c r="U684" i="53"/>
  <c r="S684" i="53"/>
  <c r="Q684" i="53"/>
  <c r="AC115" i="16" s="1"/>
  <c r="O684" i="53"/>
  <c r="M684" i="53"/>
  <c r="K684" i="53"/>
  <c r="I684" i="53"/>
  <c r="G684" i="53"/>
  <c r="E684" i="53"/>
  <c r="AA683" i="53"/>
  <c r="Y683" i="53"/>
  <c r="W683" i="53"/>
  <c r="U683" i="53"/>
  <c r="S683" i="53"/>
  <c r="Q683" i="53"/>
  <c r="AC114" i="16" s="1"/>
  <c r="O683" i="53"/>
  <c r="M683" i="53"/>
  <c r="K683" i="53"/>
  <c r="I683" i="53"/>
  <c r="G683" i="53"/>
  <c r="E683" i="53"/>
  <c r="AA682" i="53"/>
  <c r="Y682" i="53"/>
  <c r="W682" i="53"/>
  <c r="U682" i="53"/>
  <c r="S682" i="53"/>
  <c r="Q682" i="53"/>
  <c r="AC113" i="16" s="1"/>
  <c r="N113" i="16" s="1"/>
  <c r="O682" i="53"/>
  <c r="M682" i="53"/>
  <c r="K682" i="53"/>
  <c r="I682" i="53"/>
  <c r="G682" i="53"/>
  <c r="E682" i="53"/>
  <c r="AA681" i="53"/>
  <c r="Y681" i="53"/>
  <c r="W681" i="53"/>
  <c r="U681" i="53"/>
  <c r="S681" i="53"/>
  <c r="Q681" i="53"/>
  <c r="AC112" i="16" s="1"/>
  <c r="N112" i="16" s="1"/>
  <c r="O681" i="53"/>
  <c r="M681" i="53"/>
  <c r="K681" i="53"/>
  <c r="I681" i="53"/>
  <c r="G681" i="53"/>
  <c r="E681" i="53"/>
  <c r="AA680" i="53"/>
  <c r="Y680" i="53"/>
  <c r="W680" i="53"/>
  <c r="U680" i="53"/>
  <c r="S680" i="53"/>
  <c r="Q680" i="53"/>
  <c r="AC111" i="16" s="1"/>
  <c r="N111" i="16" s="1"/>
  <c r="O680" i="53"/>
  <c r="M680" i="53"/>
  <c r="K680" i="53"/>
  <c r="I680" i="53"/>
  <c r="G680" i="53"/>
  <c r="E680" i="53"/>
  <c r="Z678" i="53"/>
  <c r="AA678" i="53" s="1"/>
  <c r="X678" i="53"/>
  <c r="Y678" i="53" s="1"/>
  <c r="V678" i="53"/>
  <c r="W678" i="53" s="1"/>
  <c r="T678" i="53"/>
  <c r="U678" i="53" s="1"/>
  <c r="R678" i="53"/>
  <c r="S678" i="53" s="1"/>
  <c r="N678" i="53"/>
  <c r="O678" i="53" s="1"/>
  <c r="L678" i="53"/>
  <c r="M678" i="53" s="1"/>
  <c r="J678" i="53"/>
  <c r="K678" i="53" s="1"/>
  <c r="H678" i="53"/>
  <c r="I678" i="53" s="1"/>
  <c r="D678" i="53"/>
  <c r="E678" i="53" s="1"/>
  <c r="G677" i="53"/>
  <c r="E677" i="53"/>
  <c r="G676" i="53"/>
  <c r="E676" i="53"/>
  <c r="AA675" i="53"/>
  <c r="Y675" i="53"/>
  <c r="W675" i="53"/>
  <c r="U675" i="53"/>
  <c r="S675" i="53"/>
  <c r="Q675" i="53"/>
  <c r="AC108" i="16" s="1"/>
  <c r="N108" i="16" s="1"/>
  <c r="O675" i="53"/>
  <c r="M675" i="53"/>
  <c r="K675" i="53"/>
  <c r="I675" i="53"/>
  <c r="G675" i="53"/>
  <c r="E675" i="53"/>
  <c r="AA674" i="53"/>
  <c r="Y674" i="53"/>
  <c r="W674" i="53"/>
  <c r="U674" i="53"/>
  <c r="S674" i="53"/>
  <c r="Q674" i="53"/>
  <c r="AC107" i="16" s="1"/>
  <c r="O674" i="53"/>
  <c r="M674" i="53"/>
  <c r="K674" i="53"/>
  <c r="I674" i="53"/>
  <c r="G674" i="53"/>
  <c r="E674" i="53"/>
  <c r="O673" i="53"/>
  <c r="Z672" i="53"/>
  <c r="AA672" i="53" s="1"/>
  <c r="X672" i="53"/>
  <c r="Y672" i="53" s="1"/>
  <c r="V672" i="53"/>
  <c r="W672" i="53" s="1"/>
  <c r="T672" i="53"/>
  <c r="U672" i="53" s="1"/>
  <c r="R672" i="53"/>
  <c r="S672" i="53" s="1"/>
  <c r="N672" i="53"/>
  <c r="O672" i="53" s="1"/>
  <c r="O666" i="53"/>
  <c r="AA665" i="53"/>
  <c r="Y665" i="53"/>
  <c r="W665" i="53"/>
  <c r="U665" i="53"/>
  <c r="S665" i="53"/>
  <c r="Q665" i="53"/>
  <c r="O665" i="53"/>
  <c r="M665" i="53"/>
  <c r="K665" i="53"/>
  <c r="I665" i="53"/>
  <c r="G665" i="53"/>
  <c r="E665" i="53"/>
  <c r="G657" i="53"/>
  <c r="S656" i="53"/>
  <c r="M656" i="53"/>
  <c r="K656" i="53"/>
  <c r="I656" i="53"/>
  <c r="E656" i="53"/>
  <c r="S655" i="53"/>
  <c r="Q655" i="53"/>
  <c r="M655" i="53"/>
  <c r="K655" i="53"/>
  <c r="I655" i="53"/>
  <c r="E655" i="53"/>
  <c r="S654" i="53"/>
  <c r="M654" i="53"/>
  <c r="K654" i="53"/>
  <c r="I654" i="53"/>
  <c r="E654" i="53"/>
  <c r="S653" i="53"/>
  <c r="M653" i="53"/>
  <c r="K653" i="53"/>
  <c r="I653" i="53"/>
  <c r="E653" i="53"/>
  <c r="S652" i="53"/>
  <c r="M652" i="53"/>
  <c r="K652" i="53"/>
  <c r="I652" i="53"/>
  <c r="E652" i="53"/>
  <c r="S651" i="53"/>
  <c r="M651" i="53"/>
  <c r="K651" i="53"/>
  <c r="I651" i="53"/>
  <c r="E651" i="53"/>
  <c r="S647" i="53"/>
  <c r="P653" i="53" s="1"/>
  <c r="Q653" i="53" s="1"/>
  <c r="AC100" i="16" s="1"/>
  <c r="I647" i="53"/>
  <c r="P651" i="53" s="1"/>
  <c r="Q651" i="53" s="1"/>
  <c r="AC98" i="16" s="1"/>
  <c r="D647" i="53"/>
  <c r="P652" i="53" s="1"/>
  <c r="Q652" i="53" s="1"/>
  <c r="AC99" i="16" s="1"/>
  <c r="J102" i="16"/>
  <c r="K102" i="16"/>
  <c r="L102" i="16"/>
  <c r="M102" i="16"/>
  <c r="O102" i="16"/>
  <c r="J103" i="16"/>
  <c r="K103" i="16"/>
  <c r="L103" i="16"/>
  <c r="M103" i="16"/>
  <c r="O103" i="16"/>
  <c r="J104" i="16"/>
  <c r="K104" i="16"/>
  <c r="L104" i="16"/>
  <c r="M104" i="16"/>
  <c r="O104" i="16"/>
  <c r="J105" i="16"/>
  <c r="K105" i="16"/>
  <c r="L105" i="16"/>
  <c r="M105" i="16"/>
  <c r="O105" i="16"/>
  <c r="J106" i="16"/>
  <c r="K106" i="16"/>
  <c r="L106" i="16"/>
  <c r="M106" i="16"/>
  <c r="O106" i="16"/>
  <c r="J107" i="16"/>
  <c r="K107" i="16"/>
  <c r="L107" i="16"/>
  <c r="M107" i="16"/>
  <c r="O107" i="16"/>
  <c r="J108" i="16"/>
  <c r="K108" i="16"/>
  <c r="L108" i="16"/>
  <c r="M108" i="16"/>
  <c r="O108" i="16"/>
  <c r="J109" i="16"/>
  <c r="K109" i="16"/>
  <c r="L109" i="16"/>
  <c r="M109" i="16"/>
  <c r="O109" i="16"/>
  <c r="J110" i="16"/>
  <c r="K110" i="16"/>
  <c r="L110" i="16"/>
  <c r="M110" i="16"/>
  <c r="O110" i="16"/>
  <c r="J111" i="16"/>
  <c r="K111" i="16"/>
  <c r="L111" i="16"/>
  <c r="M111" i="16"/>
  <c r="O111" i="16"/>
  <c r="J112" i="16"/>
  <c r="K112" i="16"/>
  <c r="L112" i="16"/>
  <c r="M112" i="16"/>
  <c r="O112" i="16"/>
  <c r="J113" i="16"/>
  <c r="K113" i="16"/>
  <c r="L113" i="16"/>
  <c r="M113" i="16"/>
  <c r="O113" i="16"/>
  <c r="J176" i="16"/>
  <c r="K176" i="16"/>
  <c r="H176" i="16" s="1"/>
  <c r="L176" i="16"/>
  <c r="M176" i="16"/>
  <c r="J177" i="16"/>
  <c r="K177" i="16"/>
  <c r="H177" i="16" s="1"/>
  <c r="L177" i="16"/>
  <c r="M177" i="16"/>
  <c r="J178" i="16"/>
  <c r="K178" i="16"/>
  <c r="G178" i="16" s="1"/>
  <c r="L178" i="16"/>
  <c r="M178" i="16"/>
  <c r="J179" i="16"/>
  <c r="K179" i="16"/>
  <c r="G179" i="16" s="1"/>
  <c r="L179" i="16"/>
  <c r="M179" i="16"/>
  <c r="J180" i="16"/>
  <c r="K180" i="16"/>
  <c r="G180" i="16" s="1"/>
  <c r="L180" i="16"/>
  <c r="M180" i="16"/>
  <c r="J181" i="16"/>
  <c r="K181" i="16"/>
  <c r="H181" i="16" s="1"/>
  <c r="L181" i="16"/>
  <c r="M181" i="16"/>
  <c r="J182" i="16"/>
  <c r="K182" i="16"/>
  <c r="L182" i="16"/>
  <c r="M182" i="16"/>
  <c r="J183" i="16"/>
  <c r="K183" i="16"/>
  <c r="H183" i="16" s="1"/>
  <c r="L183" i="16"/>
  <c r="M183" i="16"/>
  <c r="J184" i="16"/>
  <c r="K184" i="16"/>
  <c r="H184" i="16" s="1"/>
  <c r="L184" i="16"/>
  <c r="M184" i="16"/>
  <c r="J185" i="16"/>
  <c r="K185" i="16"/>
  <c r="H185" i="16" s="1"/>
  <c r="L185" i="16"/>
  <c r="M185" i="16"/>
  <c r="J186" i="16"/>
  <c r="K186" i="16"/>
  <c r="G186" i="16" s="1"/>
  <c r="L186" i="16"/>
  <c r="M186" i="16"/>
  <c r="O186" i="16"/>
  <c r="H186" i="16" s="1"/>
  <c r="J187" i="16"/>
  <c r="K187" i="16"/>
  <c r="L187" i="16"/>
  <c r="M187" i="16"/>
  <c r="J188" i="16"/>
  <c r="K188" i="16"/>
  <c r="L188" i="16"/>
  <c r="M188" i="16"/>
  <c r="J189" i="16"/>
  <c r="K189" i="16"/>
  <c r="L189" i="16"/>
  <c r="M189" i="16"/>
  <c r="H189" i="16"/>
  <c r="J190" i="16"/>
  <c r="K190" i="16"/>
  <c r="H190" i="16" s="1"/>
  <c r="L190" i="16"/>
  <c r="M190" i="16"/>
  <c r="J191" i="16"/>
  <c r="K191" i="16"/>
  <c r="G191" i="16" s="1"/>
  <c r="L191" i="16"/>
  <c r="M191" i="16"/>
  <c r="J192" i="16"/>
  <c r="K192" i="16"/>
  <c r="L192" i="16"/>
  <c r="M192" i="16"/>
  <c r="J193" i="16"/>
  <c r="K193" i="16"/>
  <c r="H193" i="16" s="1"/>
  <c r="L193" i="16"/>
  <c r="M193" i="16"/>
  <c r="J194" i="16"/>
  <c r="K194" i="16"/>
  <c r="H194" i="16" s="1"/>
  <c r="L194" i="16"/>
  <c r="M194" i="16"/>
  <c r="J195" i="16"/>
  <c r="K195" i="16"/>
  <c r="L195" i="16"/>
  <c r="M195" i="16"/>
  <c r="J196" i="16"/>
  <c r="K196" i="16"/>
  <c r="L196" i="16"/>
  <c r="M196" i="16"/>
  <c r="J197" i="16"/>
  <c r="K197" i="16"/>
  <c r="L197" i="16"/>
  <c r="M197" i="16"/>
  <c r="J198" i="16"/>
  <c r="K198" i="16"/>
  <c r="H198" i="16" s="1"/>
  <c r="L198" i="16"/>
  <c r="M198" i="16"/>
  <c r="J199" i="16"/>
  <c r="K199" i="16"/>
  <c r="L199" i="16"/>
  <c r="M199" i="16"/>
  <c r="J200" i="16"/>
  <c r="K200" i="16"/>
  <c r="L200" i="16"/>
  <c r="M200" i="16"/>
  <c r="N200" i="16"/>
  <c r="P200" i="16"/>
  <c r="N189" i="16"/>
  <c r="N190" i="16"/>
  <c r="N192" i="16"/>
  <c r="N193" i="16"/>
  <c r="N194" i="16"/>
  <c r="N196" i="16"/>
  <c r="R204" i="16"/>
  <c r="S204" i="16"/>
  <c r="U204" i="16"/>
  <c r="L204" i="16" s="1"/>
  <c r="V204" i="16"/>
  <c r="W204" i="16"/>
  <c r="Z204" i="16"/>
  <c r="AA204" i="16"/>
  <c r="AB204" i="16"/>
  <c r="N177" i="16"/>
  <c r="N181" i="16"/>
  <c r="G182" i="16"/>
  <c r="N183" i="16"/>
  <c r="N187" i="16"/>
  <c r="G188" i="16"/>
  <c r="N197" i="16"/>
  <c r="N199" i="16"/>
  <c r="H179" i="16" l="1"/>
  <c r="H178" i="16"/>
  <c r="F178" i="16" s="1"/>
  <c r="G176" i="16"/>
  <c r="G184" i="16"/>
  <c r="F184" i="16" s="1"/>
  <c r="H102" i="16"/>
  <c r="P185" i="16"/>
  <c r="Q185" i="16" s="1"/>
  <c r="P104" i="16"/>
  <c r="Q104" i="16" s="1"/>
  <c r="H197" i="16"/>
  <c r="H180" i="16"/>
  <c r="F180" i="16" s="1"/>
  <c r="H182" i="16"/>
  <c r="F182" i="16" s="1"/>
  <c r="Q656" i="53"/>
  <c r="Q657" i="53" s="1"/>
  <c r="Q673" i="53"/>
  <c r="AC106" i="16" s="1"/>
  <c r="N106" i="16" s="1"/>
  <c r="N107" i="16"/>
  <c r="G107" i="16"/>
  <c r="G198" i="16"/>
  <c r="F198" i="16" s="1"/>
  <c r="G195" i="16"/>
  <c r="P112" i="16"/>
  <c r="Q112" i="16" s="1"/>
  <c r="P107" i="16"/>
  <c r="I107" i="16" s="1"/>
  <c r="P108" i="16"/>
  <c r="Q108" i="16" s="1"/>
  <c r="H110" i="16"/>
  <c r="P111" i="16"/>
  <c r="Q111" i="16" s="1"/>
  <c r="F176" i="16"/>
  <c r="P105" i="16"/>
  <c r="Q105" i="16" s="1"/>
  <c r="P103" i="16"/>
  <c r="Q103" i="16" s="1"/>
  <c r="P109" i="16"/>
  <c r="Q109" i="16" s="1"/>
  <c r="P113" i="16"/>
  <c r="Q113" i="16" s="1"/>
  <c r="P110" i="16"/>
  <c r="I110" i="16" s="1"/>
  <c r="G110" i="16"/>
  <c r="N191" i="16"/>
  <c r="P180" i="16"/>
  <c r="Q180" i="16" s="1"/>
  <c r="N188" i="16"/>
  <c r="P184" i="16"/>
  <c r="Q184" i="16" s="1"/>
  <c r="E657" i="53"/>
  <c r="P178" i="16"/>
  <c r="P191" i="16"/>
  <c r="I191" i="16" s="1"/>
  <c r="P176" i="16"/>
  <c r="Q176" i="16" s="1"/>
  <c r="M657" i="53"/>
  <c r="I657" i="53"/>
  <c r="P199" i="16"/>
  <c r="Q199" i="16" s="1"/>
  <c r="P182" i="16"/>
  <c r="Q182" i="16" s="1"/>
  <c r="N198" i="16"/>
  <c r="P195" i="16"/>
  <c r="I195" i="16" s="1"/>
  <c r="P187" i="16"/>
  <c r="I187" i="16" s="1"/>
  <c r="P177" i="16"/>
  <c r="Q177" i="16" s="1"/>
  <c r="S657" i="53"/>
  <c r="N195" i="16"/>
  <c r="P186" i="16"/>
  <c r="Q186" i="16" s="1"/>
  <c r="P181" i="16"/>
  <c r="Q181" i="16" s="1"/>
  <c r="K657" i="53"/>
  <c r="P183" i="16"/>
  <c r="P197" i="16"/>
  <c r="I197" i="16" s="1"/>
  <c r="P189" i="16"/>
  <c r="I189" i="16" s="1"/>
  <c r="N186" i="16"/>
  <c r="N185" i="16"/>
  <c r="N184" i="16"/>
  <c r="N182" i="16"/>
  <c r="N180" i="16"/>
  <c r="N179" i="16"/>
  <c r="N178" i="16"/>
  <c r="N176" i="16"/>
  <c r="P179" i="16"/>
  <c r="P193" i="16"/>
  <c r="Q193" i="16" s="1"/>
  <c r="P196" i="16"/>
  <c r="I196" i="16" s="1"/>
  <c r="P192" i="16"/>
  <c r="I192" i="16" s="1"/>
  <c r="P188" i="16"/>
  <c r="Q188" i="16" s="1"/>
  <c r="H106" i="16"/>
  <c r="H107" i="16"/>
  <c r="P102" i="16"/>
  <c r="Q200" i="16"/>
  <c r="F186" i="16"/>
  <c r="G193" i="16"/>
  <c r="F193" i="16" s="1"/>
  <c r="G189" i="16"/>
  <c r="F189" i="16" s="1"/>
  <c r="H187" i="16"/>
  <c r="H191" i="16"/>
  <c r="F191" i="16" s="1"/>
  <c r="H195" i="16"/>
  <c r="H199" i="16"/>
  <c r="G199" i="16"/>
  <c r="H188" i="16"/>
  <c r="F188" i="16" s="1"/>
  <c r="H192" i="16"/>
  <c r="H196" i="16"/>
  <c r="H200" i="16"/>
  <c r="P198" i="16"/>
  <c r="I198" i="16" s="1"/>
  <c r="P194" i="16"/>
  <c r="Q194" i="16" s="1"/>
  <c r="P190" i="16"/>
  <c r="I190" i="16" s="1"/>
  <c r="G197" i="16"/>
  <c r="F197" i="16" s="1"/>
  <c r="G185" i="16"/>
  <c r="F185" i="16" s="1"/>
  <c r="G181" i="16"/>
  <c r="F181" i="16" s="1"/>
  <c r="G177" i="16"/>
  <c r="F177" i="16" s="1"/>
  <c r="G194" i="16"/>
  <c r="F194" i="16" s="1"/>
  <c r="G190" i="16"/>
  <c r="F190" i="16" s="1"/>
  <c r="F179" i="16"/>
  <c r="G196" i="16"/>
  <c r="G192" i="16"/>
  <c r="G183" i="16"/>
  <c r="F183" i="16" s="1"/>
  <c r="G187" i="16"/>
  <c r="G102" i="16"/>
  <c r="T82" i="16"/>
  <c r="T83" i="16"/>
  <c r="T81" i="16"/>
  <c r="F102" i="16" l="1"/>
  <c r="P106" i="16"/>
  <c r="I106" i="16" s="1"/>
  <c r="I199" i="16"/>
  <c r="I185" i="16"/>
  <c r="F107" i="16"/>
  <c r="Q107" i="16"/>
  <c r="G106" i="16"/>
  <c r="F106" i="16" s="1"/>
  <c r="F195" i="16"/>
  <c r="I193" i="16"/>
  <c r="Q191" i="16"/>
  <c r="I186" i="16"/>
  <c r="F196" i="16"/>
  <c r="I176" i="16"/>
  <c r="Q192" i="16"/>
  <c r="Q187" i="16"/>
  <c r="I184" i="16"/>
  <c r="F110" i="16"/>
  <c r="Q110" i="16"/>
  <c r="I180" i="16"/>
  <c r="I177" i="16"/>
  <c r="Q196" i="16"/>
  <c r="Q197" i="16"/>
  <c r="I182" i="16"/>
  <c r="Q178" i="16"/>
  <c r="I178" i="16"/>
  <c r="Q189" i="16"/>
  <c r="Q195" i="16"/>
  <c r="I188" i="16"/>
  <c r="I181" i="16"/>
  <c r="F199" i="16"/>
  <c r="Q179" i="16"/>
  <c r="I179" i="16"/>
  <c r="Q183" i="16"/>
  <c r="I183" i="16"/>
  <c r="I102" i="16"/>
  <c r="Q102" i="16"/>
  <c r="I194" i="16"/>
  <c r="Q198" i="16"/>
  <c r="F192" i="16"/>
  <c r="F187" i="16"/>
  <c r="Q190" i="16"/>
  <c r="AC85" i="16"/>
  <c r="AC86" i="16"/>
  <c r="Q106" i="16" l="1"/>
  <c r="X94" i="16"/>
  <c r="X93" i="16"/>
  <c r="Q802" i="46"/>
  <c r="Q801" i="46"/>
  <c r="Q800" i="46"/>
  <c r="Q799" i="46"/>
  <c r="Q798" i="46"/>
  <c r="Q797" i="46"/>
  <c r="Q796" i="46"/>
  <c r="Q795" i="46"/>
  <c r="Q794" i="46"/>
  <c r="Q793" i="46"/>
  <c r="Q792" i="46"/>
  <c r="Q791" i="46"/>
  <c r="Q790" i="46"/>
  <c r="Q789" i="46"/>
  <c r="Q788" i="46"/>
  <c r="Q787" i="46"/>
  <c r="Q786" i="46"/>
  <c r="Q785" i="46"/>
  <c r="Q784" i="46"/>
  <c r="Q783" i="46"/>
  <c r="Q782" i="46"/>
  <c r="Q781" i="46"/>
  <c r="Q780" i="46"/>
  <c r="Q779" i="46"/>
  <c r="Q778" i="46"/>
  <c r="Q777" i="46"/>
  <c r="Q776" i="46"/>
  <c r="Q775" i="46"/>
  <c r="Q774" i="46"/>
  <c r="Q773" i="46"/>
  <c r="Q772" i="46"/>
  <c r="Q771" i="46"/>
  <c r="Q770" i="46"/>
  <c r="Q769" i="46"/>
  <c r="Q768" i="46"/>
  <c r="Q767" i="46"/>
  <c r="Q766" i="46"/>
  <c r="Q765" i="46"/>
  <c r="Q764" i="46"/>
  <c r="Q763" i="46"/>
  <c r="Q762" i="46"/>
  <c r="Q761" i="46"/>
  <c r="Q760" i="46"/>
  <c r="Q759" i="46"/>
  <c r="Q758" i="46"/>
  <c r="Q757" i="46"/>
  <c r="Q756" i="46"/>
  <c r="Q755" i="46"/>
  <c r="Q754" i="46"/>
  <c r="Q753" i="46"/>
  <c r="X90" i="16"/>
  <c r="O556" i="53" l="1"/>
  <c r="AC84" i="16" s="1"/>
  <c r="O563" i="53"/>
  <c r="AC88" i="16" s="1"/>
  <c r="Z568" i="53" l="1"/>
  <c r="AA568" i="53" s="1"/>
  <c r="X568" i="53"/>
  <c r="Y568" i="53" s="1"/>
  <c r="V568" i="53"/>
  <c r="W568" i="53" s="1"/>
  <c r="T568" i="53"/>
  <c r="U568" i="53" s="1"/>
  <c r="R568" i="53"/>
  <c r="S568" i="53" s="1"/>
  <c r="Z571" i="53"/>
  <c r="AA571" i="53" s="1"/>
  <c r="X571" i="53"/>
  <c r="Y571" i="53" s="1"/>
  <c r="V571" i="53"/>
  <c r="W571" i="53" s="1"/>
  <c r="T571" i="53"/>
  <c r="U571" i="53" s="1"/>
  <c r="R571" i="53"/>
  <c r="S571" i="53" s="1"/>
  <c r="P571" i="53"/>
  <c r="Q571" i="53" s="1"/>
  <c r="N571" i="53"/>
  <c r="O571" i="53" s="1"/>
  <c r="P568" i="53"/>
  <c r="Q568" i="53" s="1"/>
  <c r="N568" i="53"/>
  <c r="O568" i="53" s="1"/>
  <c r="AC91" i="16" s="1"/>
  <c r="Z562" i="53"/>
  <c r="AA562" i="53" s="1"/>
  <c r="X562" i="53"/>
  <c r="Y562" i="53" s="1"/>
  <c r="V562" i="53"/>
  <c r="W562" i="53" s="1"/>
  <c r="T562" i="53"/>
  <c r="U562" i="53" s="1"/>
  <c r="R562" i="53"/>
  <c r="S562" i="53" s="1"/>
  <c r="P562" i="53"/>
  <c r="Q562" i="53" s="1"/>
  <c r="N562" i="53"/>
  <c r="O562" i="53" s="1"/>
  <c r="AC87" i="16" s="1"/>
  <c r="N87" i="16" s="1"/>
  <c r="E545" i="53"/>
  <c r="I545" i="53"/>
  <c r="K545" i="53"/>
  <c r="M545" i="53"/>
  <c r="Q545" i="53"/>
  <c r="S545" i="53"/>
  <c r="E546" i="53"/>
  <c r="I546" i="53"/>
  <c r="K546" i="53"/>
  <c r="M546" i="53"/>
  <c r="O546" i="53"/>
  <c r="Q546" i="53"/>
  <c r="S546" i="53"/>
  <c r="J85" i="16"/>
  <c r="K85" i="16"/>
  <c r="G85" i="16" s="1"/>
  <c r="L85" i="16"/>
  <c r="M85" i="16"/>
  <c r="N85" i="16"/>
  <c r="O85" i="16"/>
  <c r="H85" i="16" s="1"/>
  <c r="J86" i="16"/>
  <c r="K86" i="16"/>
  <c r="G86" i="16" s="1"/>
  <c r="L86" i="16"/>
  <c r="M86" i="16"/>
  <c r="N86" i="16"/>
  <c r="O86" i="16"/>
  <c r="P86" i="16" s="1"/>
  <c r="J87" i="16"/>
  <c r="K87" i="16"/>
  <c r="L87" i="16"/>
  <c r="M87" i="16"/>
  <c r="O87" i="16"/>
  <c r="P87" i="16" l="1"/>
  <c r="Q87" i="16" s="1"/>
  <c r="Q86" i="16"/>
  <c r="I86" i="16"/>
  <c r="H86" i="16"/>
  <c r="F86" i="16" s="1"/>
  <c r="H87" i="16"/>
  <c r="F85" i="16"/>
  <c r="P85" i="16"/>
  <c r="G87" i="16"/>
  <c r="I87" i="16" l="1"/>
  <c r="I85" i="16"/>
  <c r="Q85" i="16"/>
  <c r="F87" i="16"/>
  <c r="AA576" i="53" l="1"/>
  <c r="Y576" i="53"/>
  <c r="W576" i="53"/>
  <c r="U576" i="53"/>
  <c r="S576" i="53"/>
  <c r="Q576" i="53"/>
  <c r="O576" i="53"/>
  <c r="AC97" i="16" s="1"/>
  <c r="M576" i="53"/>
  <c r="K576" i="53"/>
  <c r="I576" i="53"/>
  <c r="G576" i="53"/>
  <c r="E576" i="53"/>
  <c r="AA575" i="53"/>
  <c r="Y575" i="53"/>
  <c r="W575" i="53"/>
  <c r="U575" i="53"/>
  <c r="S575" i="53"/>
  <c r="Q575" i="53"/>
  <c r="O575" i="53"/>
  <c r="AC96" i="16" s="1"/>
  <c r="M575" i="53"/>
  <c r="K575" i="53"/>
  <c r="I575" i="53"/>
  <c r="G575" i="53"/>
  <c r="E575" i="53"/>
  <c r="AA574" i="53"/>
  <c r="Y574" i="53"/>
  <c r="W574" i="53"/>
  <c r="U574" i="53"/>
  <c r="S574" i="53"/>
  <c r="Q574" i="53"/>
  <c r="O574" i="53"/>
  <c r="AC95" i="16" s="1"/>
  <c r="M574" i="53"/>
  <c r="K574" i="53"/>
  <c r="I574" i="53"/>
  <c r="G574" i="53"/>
  <c r="E574" i="53"/>
  <c r="AA573" i="53"/>
  <c r="Y573" i="53"/>
  <c r="W573" i="53"/>
  <c r="U573" i="53"/>
  <c r="S573" i="53"/>
  <c r="Q573" i="53"/>
  <c r="O573" i="53"/>
  <c r="AC94" i="16" s="1"/>
  <c r="M573" i="53"/>
  <c r="K573" i="53"/>
  <c r="I573" i="53"/>
  <c r="G573" i="53"/>
  <c r="E573" i="53"/>
  <c r="AA572" i="53"/>
  <c r="Y572" i="53"/>
  <c r="W572" i="53"/>
  <c r="U572" i="53"/>
  <c r="S572" i="53"/>
  <c r="Q572" i="53"/>
  <c r="O572" i="53"/>
  <c r="AC93" i="16" s="1"/>
  <c r="M572" i="53"/>
  <c r="K572" i="53"/>
  <c r="I572" i="53"/>
  <c r="G572" i="53"/>
  <c r="E572" i="53"/>
  <c r="L568" i="53"/>
  <c r="M568" i="53" s="1"/>
  <c r="J568" i="53"/>
  <c r="K568" i="53" s="1"/>
  <c r="H568" i="53"/>
  <c r="I568" i="53" s="1"/>
  <c r="D568" i="53"/>
  <c r="E568" i="53" s="1"/>
  <c r="G567" i="53"/>
  <c r="E567" i="53"/>
  <c r="G566" i="53"/>
  <c r="E566" i="53"/>
  <c r="AA565" i="53"/>
  <c r="Y565" i="53"/>
  <c r="W565" i="53"/>
  <c r="U565" i="53"/>
  <c r="S565" i="53"/>
  <c r="Q565" i="53"/>
  <c r="O565" i="53"/>
  <c r="AC90" i="16" s="1"/>
  <c r="M565" i="53"/>
  <c r="K565" i="53"/>
  <c r="I565" i="53"/>
  <c r="G565" i="53"/>
  <c r="E565" i="53"/>
  <c r="AA564" i="53"/>
  <c r="Y564" i="53"/>
  <c r="W564" i="53"/>
  <c r="U564" i="53"/>
  <c r="S564" i="53"/>
  <c r="Q564" i="53"/>
  <c r="O564" i="53"/>
  <c r="AC89" i="16" s="1"/>
  <c r="M564" i="53"/>
  <c r="K564" i="53"/>
  <c r="I564" i="53"/>
  <c r="G564" i="53"/>
  <c r="E564" i="53"/>
  <c r="AA555" i="53"/>
  <c r="Y555" i="53"/>
  <c r="W555" i="53"/>
  <c r="U555" i="53"/>
  <c r="S555" i="53"/>
  <c r="Q555" i="53"/>
  <c r="O555" i="53"/>
  <c r="M555" i="53"/>
  <c r="K555" i="53"/>
  <c r="I555" i="53"/>
  <c r="G555" i="53"/>
  <c r="E555" i="53"/>
  <c r="G547" i="53"/>
  <c r="S544" i="53"/>
  <c r="Q544" i="53"/>
  <c r="M544" i="53"/>
  <c r="K544" i="53"/>
  <c r="I544" i="53"/>
  <c r="E544" i="53"/>
  <c r="S543" i="53"/>
  <c r="Q543" i="53"/>
  <c r="M543" i="53"/>
  <c r="K543" i="53"/>
  <c r="I543" i="53"/>
  <c r="E543" i="53"/>
  <c r="S542" i="53"/>
  <c r="Q542" i="53"/>
  <c r="K542" i="53"/>
  <c r="I542" i="53"/>
  <c r="E542" i="53"/>
  <c r="S541" i="53"/>
  <c r="Q541" i="53"/>
  <c r="M541" i="53"/>
  <c r="K541" i="53"/>
  <c r="I541" i="53"/>
  <c r="E541" i="53"/>
  <c r="O545" i="53"/>
  <c r="S537" i="53"/>
  <c r="N543" i="53" s="1"/>
  <c r="O543" i="53" s="1"/>
  <c r="AC82" i="16" s="1"/>
  <c r="N537" i="53"/>
  <c r="N544" i="53" s="1"/>
  <c r="O544" i="53" s="1"/>
  <c r="AC83" i="16" s="1"/>
  <c r="I537" i="53"/>
  <c r="N541" i="53" s="1"/>
  <c r="O541" i="53" s="1"/>
  <c r="AC80" i="16" s="1"/>
  <c r="D537" i="53"/>
  <c r="M542" i="53" s="1"/>
  <c r="I547" i="53" l="1"/>
  <c r="K547" i="53"/>
  <c r="Q547" i="53"/>
  <c r="S547" i="53"/>
  <c r="N542" i="53"/>
  <c r="O542" i="53" s="1"/>
  <c r="E547" i="53"/>
  <c r="M547" i="53"/>
  <c r="O92" i="16"/>
  <c r="H92" i="16" s="1"/>
  <c r="M92" i="16"/>
  <c r="L92" i="16"/>
  <c r="K92" i="16"/>
  <c r="J92" i="16"/>
  <c r="N92" i="16"/>
  <c r="O547" i="53" l="1"/>
  <c r="AC81" i="16"/>
  <c r="P92" i="16"/>
  <c r="I92" i="16" s="1"/>
  <c r="G92" i="16"/>
  <c r="F92" i="16" s="1"/>
  <c r="N74" i="16"/>
  <c r="O74" i="16"/>
  <c r="M74" i="16"/>
  <c r="L74" i="16"/>
  <c r="K74" i="16"/>
  <c r="J74" i="16"/>
  <c r="Q92" i="16" l="1"/>
  <c r="P74" i="16"/>
  <c r="H74" i="16"/>
  <c r="G74" i="16"/>
  <c r="AC59" i="16"/>
  <c r="N59" i="16" s="1"/>
  <c r="AC44" i="16"/>
  <c r="O59" i="16"/>
  <c r="M59" i="16"/>
  <c r="L59" i="16"/>
  <c r="K59" i="16"/>
  <c r="O44" i="16"/>
  <c r="M44" i="16"/>
  <c r="L44" i="16"/>
  <c r="K44" i="16"/>
  <c r="J44" i="16"/>
  <c r="P59" i="16" l="1"/>
  <c r="Q59" i="16" s="1"/>
  <c r="I74" i="16"/>
  <c r="Q74" i="16"/>
  <c r="F74" i="16"/>
  <c r="G59" i="16"/>
  <c r="H59" i="16"/>
  <c r="P44" i="16"/>
  <c r="Q44" i="16" s="1"/>
  <c r="H44" i="16"/>
  <c r="G44" i="16"/>
  <c r="N44" i="16"/>
  <c r="I59" i="16" l="1"/>
  <c r="F59" i="16"/>
  <c r="F44" i="16"/>
  <c r="I44" i="16"/>
  <c r="O29" i="16" l="1"/>
  <c r="M29" i="16"/>
  <c r="L29" i="16"/>
  <c r="K29" i="16"/>
  <c r="J29" i="16"/>
  <c r="H29" i="16" l="1"/>
  <c r="Q749" i="46"/>
  <c r="Q750" i="46"/>
  <c r="Q751" i="46"/>
  <c r="Q752" i="46"/>
  <c r="Q727" i="46"/>
  <c r="Q728" i="46"/>
  <c r="Q729" i="46"/>
  <c r="Q730" i="46"/>
  <c r="Q731" i="46"/>
  <c r="Q732" i="46"/>
  <c r="Q733" i="46"/>
  <c r="Q734" i="46"/>
  <c r="Q735" i="46"/>
  <c r="Q736" i="46"/>
  <c r="Q737" i="46"/>
  <c r="Q738" i="46"/>
  <c r="Q739" i="46"/>
  <c r="Q740" i="46"/>
  <c r="Q741" i="46"/>
  <c r="Q742" i="46"/>
  <c r="Q743" i="46"/>
  <c r="Q744" i="46"/>
  <c r="Q745" i="46"/>
  <c r="Q746" i="46"/>
  <c r="Q747" i="46"/>
  <c r="Q748" i="46"/>
  <c r="Q703" i="46"/>
  <c r="Q704" i="46"/>
  <c r="Q705" i="46"/>
  <c r="Q706" i="46"/>
  <c r="Q707" i="46"/>
  <c r="Q708" i="46"/>
  <c r="Q709" i="46"/>
  <c r="Q710" i="46"/>
  <c r="Q711" i="46"/>
  <c r="Q712" i="46"/>
  <c r="Q713" i="46"/>
  <c r="Q714" i="46"/>
  <c r="Q715" i="46"/>
  <c r="Q716" i="46"/>
  <c r="Q717" i="46"/>
  <c r="Q718" i="46"/>
  <c r="Q719" i="46"/>
  <c r="Q720" i="46"/>
  <c r="Q721" i="46"/>
  <c r="Q722" i="46"/>
  <c r="Q723" i="46"/>
  <c r="Q724" i="46"/>
  <c r="Q725" i="46"/>
  <c r="Q726" i="46"/>
  <c r="O14" i="16"/>
  <c r="H14" i="16" s="1"/>
  <c r="M14" i="16"/>
  <c r="L14" i="16"/>
  <c r="K14" i="16"/>
  <c r="G14" i="16" s="1"/>
  <c r="J14" i="16"/>
  <c r="N14" i="16"/>
  <c r="F14" i="16" l="1"/>
  <c r="P14" i="16"/>
  <c r="I14" i="16" s="1"/>
  <c r="Y68" i="16"/>
  <c r="Y67" i="16"/>
  <c r="Y66" i="16"/>
  <c r="T66" i="16"/>
  <c r="T67" i="16"/>
  <c r="T68" i="16"/>
  <c r="Q14" i="16" l="1"/>
  <c r="X68" i="16"/>
  <c r="X76" i="16"/>
  <c r="X75" i="16"/>
  <c r="O442" i="53"/>
  <c r="S447" i="53"/>
  <c r="S446" i="53"/>
  <c r="S445" i="53"/>
  <c r="S444" i="53"/>
  <c r="S443" i="53"/>
  <c r="S442" i="53"/>
  <c r="Q447" i="53"/>
  <c r="Q446" i="53"/>
  <c r="Q445" i="53"/>
  <c r="Q444" i="53"/>
  <c r="Q443" i="53"/>
  <c r="Q442" i="53"/>
  <c r="O447" i="53"/>
  <c r="O446" i="53"/>
  <c r="O445" i="53"/>
  <c r="O444" i="53"/>
  <c r="O443" i="53"/>
  <c r="K447" i="53"/>
  <c r="K446" i="53"/>
  <c r="K445" i="53"/>
  <c r="K444" i="53"/>
  <c r="K443" i="53"/>
  <c r="K442" i="53"/>
  <c r="L461" i="53"/>
  <c r="O448" i="53" l="1"/>
  <c r="S448" i="53"/>
  <c r="Q448" i="53"/>
  <c r="K448" i="53"/>
  <c r="AJ491" i="53"/>
  <c r="L447" i="53" s="1"/>
  <c r="M447" i="53" s="1"/>
  <c r="AC70" i="16" s="1"/>
  <c r="AA466" i="53"/>
  <c r="Y466" i="53"/>
  <c r="W466" i="53"/>
  <c r="U466" i="53"/>
  <c r="S466" i="53"/>
  <c r="Q466" i="53"/>
  <c r="O466" i="53"/>
  <c r="M466" i="53"/>
  <c r="AC79" i="16" s="1"/>
  <c r="K466" i="53"/>
  <c r="I466" i="53"/>
  <c r="G466" i="53"/>
  <c r="E466" i="53"/>
  <c r="AA465" i="53"/>
  <c r="Y465" i="53"/>
  <c r="W465" i="53"/>
  <c r="U465" i="53"/>
  <c r="S465" i="53"/>
  <c r="Q465" i="53"/>
  <c r="O465" i="53"/>
  <c r="M465" i="53"/>
  <c r="AC78" i="16" s="1"/>
  <c r="K465" i="53"/>
  <c r="I465" i="53"/>
  <c r="G465" i="53"/>
  <c r="E465" i="53"/>
  <c r="AA464" i="53"/>
  <c r="Y464" i="53"/>
  <c r="W464" i="53"/>
  <c r="U464" i="53"/>
  <c r="S464" i="53"/>
  <c r="Q464" i="53"/>
  <c r="O464" i="53"/>
  <c r="M464" i="53"/>
  <c r="AC77" i="16" s="1"/>
  <c r="K464" i="53"/>
  <c r="I464" i="53"/>
  <c r="G464" i="53"/>
  <c r="E464" i="53"/>
  <c r="AA463" i="53"/>
  <c r="Y463" i="53"/>
  <c r="W463" i="53"/>
  <c r="U463" i="53"/>
  <c r="S463" i="53"/>
  <c r="Q463" i="53"/>
  <c r="O463" i="53"/>
  <c r="M463" i="53"/>
  <c r="AC76" i="16" s="1"/>
  <c r="K463" i="53"/>
  <c r="I463" i="53"/>
  <c r="G463" i="53"/>
  <c r="E463" i="53"/>
  <c r="AA462" i="53"/>
  <c r="Y462" i="53"/>
  <c r="W462" i="53"/>
  <c r="U462" i="53"/>
  <c r="S462" i="53"/>
  <c r="Q462" i="53"/>
  <c r="O462" i="53"/>
  <c r="M462" i="53"/>
  <c r="AC75" i="16" s="1"/>
  <c r="K462" i="53"/>
  <c r="I462" i="53"/>
  <c r="G462" i="53"/>
  <c r="E462" i="53"/>
  <c r="AA461" i="53"/>
  <c r="Y461" i="53"/>
  <c r="W461" i="53"/>
  <c r="U461" i="53"/>
  <c r="S461" i="53"/>
  <c r="Q461" i="53"/>
  <c r="O461" i="53"/>
  <c r="M461" i="53"/>
  <c r="AC73" i="16" s="1"/>
  <c r="J461" i="53"/>
  <c r="K461" i="53" s="1"/>
  <c r="H461" i="53"/>
  <c r="I461" i="53" s="1"/>
  <c r="D461" i="53"/>
  <c r="E461" i="53" s="1"/>
  <c r="G460" i="53"/>
  <c r="E460" i="53"/>
  <c r="G459" i="53"/>
  <c r="E459" i="53"/>
  <c r="AA458" i="53"/>
  <c r="Y458" i="53"/>
  <c r="W458" i="53"/>
  <c r="U458" i="53"/>
  <c r="S458" i="53"/>
  <c r="Q458" i="53"/>
  <c r="O458" i="53"/>
  <c r="M458" i="53"/>
  <c r="AC72" i="16" s="1"/>
  <c r="K458" i="53"/>
  <c r="I458" i="53"/>
  <c r="G458" i="53"/>
  <c r="E458" i="53"/>
  <c r="AA457" i="53"/>
  <c r="Y457" i="53"/>
  <c r="W457" i="53"/>
  <c r="U457" i="53"/>
  <c r="S457" i="53"/>
  <c r="Q457" i="53"/>
  <c r="O457" i="53"/>
  <c r="M457" i="53"/>
  <c r="AC71" i="16" s="1"/>
  <c r="K457" i="53"/>
  <c r="I457" i="53"/>
  <c r="G457" i="53"/>
  <c r="E457" i="53"/>
  <c r="AA456" i="53"/>
  <c r="Y456" i="53"/>
  <c r="W456" i="53"/>
  <c r="U456" i="53"/>
  <c r="S456" i="53"/>
  <c r="Q456" i="53"/>
  <c r="O456" i="53"/>
  <c r="M456" i="53"/>
  <c r="K456" i="53"/>
  <c r="I456" i="53"/>
  <c r="G456" i="53"/>
  <c r="E456" i="53"/>
  <c r="G448" i="53"/>
  <c r="I447" i="53"/>
  <c r="E447" i="53"/>
  <c r="I446" i="53"/>
  <c r="E446" i="53"/>
  <c r="I445" i="53"/>
  <c r="E445" i="53"/>
  <c r="I444" i="53"/>
  <c r="E444" i="53"/>
  <c r="I443" i="53"/>
  <c r="E443" i="53"/>
  <c r="I442" i="53"/>
  <c r="E442" i="53"/>
  <c r="X438" i="53"/>
  <c r="L446" i="53" s="1"/>
  <c r="M446" i="53" s="1"/>
  <c r="AC69" i="16" s="1"/>
  <c r="S438" i="53"/>
  <c r="L444" i="53" s="1"/>
  <c r="M444" i="53" s="1"/>
  <c r="AC67" i="16" s="1"/>
  <c r="N438" i="53"/>
  <c r="L445" i="53" s="1"/>
  <c r="M445" i="53" s="1"/>
  <c r="AC68" i="16" s="1"/>
  <c r="I438" i="53"/>
  <c r="L442" i="53" s="1"/>
  <c r="M442" i="53" s="1"/>
  <c r="D438" i="53"/>
  <c r="L443" i="53" s="1"/>
  <c r="M443" i="53" s="1"/>
  <c r="AC66" i="16" s="1"/>
  <c r="I448" i="53" l="1"/>
  <c r="E448" i="53"/>
  <c r="M448" i="53"/>
  <c r="AC65" i="16"/>
  <c r="F535" i="46"/>
  <c r="E535" i="46"/>
  <c r="Y52" i="16" l="1"/>
  <c r="Y51" i="16"/>
  <c r="T52" i="16"/>
  <c r="T51" i="16"/>
  <c r="Y54" i="16" l="1"/>
  <c r="Y204" i="16" s="1"/>
  <c r="T54" i="16"/>
  <c r="T204" i="16" s="1"/>
  <c r="J204" i="16" l="1"/>
  <c r="K204" i="16"/>
  <c r="J362" i="53"/>
  <c r="X60" i="16" l="1"/>
  <c r="Q244" i="46"/>
  <c r="AJ392" i="53"/>
  <c r="J348" i="53" s="1"/>
  <c r="K348" i="53" s="1"/>
  <c r="AC55" i="16" s="1"/>
  <c r="X339" i="53"/>
  <c r="J347" i="53" s="1"/>
  <c r="K347" i="53" s="1"/>
  <c r="AC54" i="16" s="1"/>
  <c r="N339" i="53"/>
  <c r="J346" i="53" s="1"/>
  <c r="K346" i="53" s="1"/>
  <c r="AC53" i="16" s="1"/>
  <c r="I339" i="53"/>
  <c r="J343" i="53" s="1"/>
  <c r="K343" i="53" s="1"/>
  <c r="AC50" i="16" s="1"/>
  <c r="D339" i="53"/>
  <c r="J344" i="53" s="1"/>
  <c r="K344" i="53" s="1"/>
  <c r="AC51" i="16" s="1"/>
  <c r="S339" i="53"/>
  <c r="J345" i="53" s="1"/>
  <c r="K345" i="53" s="1"/>
  <c r="AC52" i="16" s="1"/>
  <c r="O50" i="16"/>
  <c r="X50" i="16"/>
  <c r="K363" i="53"/>
  <c r="AC60" i="16" s="1"/>
  <c r="AA367" i="53"/>
  <c r="Y367" i="53"/>
  <c r="W367" i="53"/>
  <c r="U367" i="53"/>
  <c r="S367" i="53"/>
  <c r="Q367" i="53"/>
  <c r="O367" i="53"/>
  <c r="M367" i="53"/>
  <c r="K367" i="53"/>
  <c r="AC64" i="16" s="1"/>
  <c r="I367" i="53"/>
  <c r="G367" i="53"/>
  <c r="E367" i="53"/>
  <c r="AA366" i="53"/>
  <c r="Y366" i="53"/>
  <c r="W366" i="53"/>
  <c r="U366" i="53"/>
  <c r="S366" i="53"/>
  <c r="Q366" i="53"/>
  <c r="O366" i="53"/>
  <c r="M366" i="53"/>
  <c r="K366" i="53"/>
  <c r="AC63" i="16" s="1"/>
  <c r="I366" i="53"/>
  <c r="G366" i="53"/>
  <c r="E366" i="53"/>
  <c r="AA365" i="53"/>
  <c r="Y365" i="53"/>
  <c r="W365" i="53"/>
  <c r="U365" i="53"/>
  <c r="S365" i="53"/>
  <c r="Q365" i="53"/>
  <c r="O365" i="53"/>
  <c r="M365" i="53"/>
  <c r="K365" i="53"/>
  <c r="AC62" i="16" s="1"/>
  <c r="I365" i="53"/>
  <c r="G365" i="53"/>
  <c r="E365" i="53"/>
  <c r="AA364" i="53"/>
  <c r="Y364" i="53"/>
  <c r="W364" i="53"/>
  <c r="U364" i="53"/>
  <c r="S364" i="53"/>
  <c r="Q364" i="53"/>
  <c r="O364" i="53"/>
  <c r="M364" i="53"/>
  <c r="K364" i="53"/>
  <c r="AC61" i="16" s="1"/>
  <c r="I364" i="53"/>
  <c r="G364" i="53"/>
  <c r="E364" i="53"/>
  <c r="AA363" i="53"/>
  <c r="Y363" i="53"/>
  <c r="W363" i="53"/>
  <c r="U363" i="53"/>
  <c r="S363" i="53"/>
  <c r="Q363" i="53"/>
  <c r="O363" i="53"/>
  <c r="M363" i="53"/>
  <c r="I363" i="53"/>
  <c r="G363" i="53"/>
  <c r="E363" i="53"/>
  <c r="AA362" i="53"/>
  <c r="Y362" i="53"/>
  <c r="W362" i="53"/>
  <c r="U362" i="53"/>
  <c r="S362" i="53"/>
  <c r="Q362" i="53"/>
  <c r="O362" i="53"/>
  <c r="M362" i="53"/>
  <c r="K362" i="53"/>
  <c r="AC58" i="16" s="1"/>
  <c r="H362" i="53"/>
  <c r="I362" i="53" s="1"/>
  <c r="D362" i="53"/>
  <c r="E362" i="53" s="1"/>
  <c r="G361" i="53"/>
  <c r="E361" i="53"/>
  <c r="G360" i="53"/>
  <c r="E360" i="53"/>
  <c r="AA359" i="53"/>
  <c r="Y359" i="53"/>
  <c r="W359" i="53"/>
  <c r="U359" i="53"/>
  <c r="S359" i="53"/>
  <c r="Q359" i="53"/>
  <c r="O359" i="53"/>
  <c r="M359" i="53"/>
  <c r="K359" i="53"/>
  <c r="AC57" i="16" s="1"/>
  <c r="I359" i="53"/>
  <c r="G359" i="53"/>
  <c r="E359" i="53"/>
  <c r="AA358" i="53"/>
  <c r="Y358" i="53"/>
  <c r="W358" i="53"/>
  <c r="U358" i="53"/>
  <c r="S358" i="53"/>
  <c r="Q358" i="53"/>
  <c r="O358" i="53"/>
  <c r="M358" i="53"/>
  <c r="K358" i="53"/>
  <c r="AC56" i="16" s="1"/>
  <c r="I358" i="53"/>
  <c r="G358" i="53"/>
  <c r="E358" i="53"/>
  <c r="AA357" i="53"/>
  <c r="Y357" i="53"/>
  <c r="W357" i="53"/>
  <c r="U357" i="53"/>
  <c r="S357" i="53"/>
  <c r="Q357" i="53"/>
  <c r="O357" i="53"/>
  <c r="M357" i="53"/>
  <c r="K357" i="53"/>
  <c r="I357" i="53"/>
  <c r="G357" i="53"/>
  <c r="E357" i="53"/>
  <c r="G349" i="53"/>
  <c r="I348" i="53"/>
  <c r="E348" i="53"/>
  <c r="I347" i="53"/>
  <c r="E347" i="53"/>
  <c r="I346" i="53"/>
  <c r="E346" i="53"/>
  <c r="I345" i="53"/>
  <c r="E345" i="53"/>
  <c r="I344" i="53"/>
  <c r="E344" i="53"/>
  <c r="I343" i="53"/>
  <c r="E343" i="53"/>
  <c r="I349" i="53" l="1"/>
  <c r="E349" i="53"/>
  <c r="K349" i="53"/>
  <c r="N45" i="53" l="1"/>
  <c r="K39" i="16" l="1"/>
  <c r="K11" i="16" l="1"/>
  <c r="K5" i="16" l="1"/>
  <c r="K32" i="16" l="1"/>
  <c r="D11" i="21"/>
  <c r="C11" i="21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5" i="29"/>
  <c r="D68" i="53"/>
  <c r="E262" i="53"/>
  <c r="S240" i="53"/>
  <c r="N240" i="53"/>
  <c r="D240" i="53"/>
  <c r="S143" i="53"/>
  <c r="D143" i="53"/>
  <c r="N143" i="53"/>
  <c r="S45" i="53"/>
  <c r="D45" i="53"/>
  <c r="I45" i="53"/>
  <c r="H263" i="53"/>
  <c r="X240" i="53"/>
  <c r="I240" i="53"/>
  <c r="X143" i="53"/>
  <c r="I143" i="53"/>
  <c r="F166" i="53"/>
  <c r="X45" i="53"/>
  <c r="E11" i="21" l="1"/>
  <c r="K6" i="16" l="1"/>
  <c r="J211" i="53" l="1"/>
  <c r="H245" i="53"/>
  <c r="H244" i="53"/>
  <c r="I245" i="53" l="1"/>
  <c r="AC36" i="16" s="1"/>
  <c r="G250" i="53"/>
  <c r="I263" i="53"/>
  <c r="AC43" i="16" s="1"/>
  <c r="D263" i="53"/>
  <c r="E263" i="53" s="1"/>
  <c r="I258" i="53"/>
  <c r="H249" i="53"/>
  <c r="I249" i="53" s="1"/>
  <c r="AC40" i="16" s="1"/>
  <c r="H248" i="53"/>
  <c r="I248" i="53" s="1"/>
  <c r="AC39" i="16" s="1"/>
  <c r="G39" i="16" s="1"/>
  <c r="I244" i="53"/>
  <c r="AC35" i="16" s="1"/>
  <c r="H246" i="53"/>
  <c r="I246" i="53" s="1"/>
  <c r="AC37" i="16" s="1"/>
  <c r="H247" i="53"/>
  <c r="I247" i="53" s="1"/>
  <c r="AC38" i="16" s="1"/>
  <c r="I250" i="53" l="1"/>
  <c r="E244" i="53"/>
  <c r="E148" i="53"/>
  <c r="AK95" i="53" l="1"/>
  <c r="AA268" i="53" l="1"/>
  <c r="Y268" i="53"/>
  <c r="W268" i="53"/>
  <c r="U268" i="53"/>
  <c r="S268" i="53"/>
  <c r="Q268" i="53"/>
  <c r="O268" i="53"/>
  <c r="M268" i="53"/>
  <c r="K268" i="53"/>
  <c r="I268" i="53"/>
  <c r="AC49" i="16" s="1"/>
  <c r="G268" i="53"/>
  <c r="E268" i="53"/>
  <c r="AA267" i="53"/>
  <c r="Y267" i="53"/>
  <c r="W267" i="53"/>
  <c r="U267" i="53"/>
  <c r="S267" i="53"/>
  <c r="Q267" i="53"/>
  <c r="O267" i="53"/>
  <c r="M267" i="53"/>
  <c r="K267" i="53"/>
  <c r="I267" i="53"/>
  <c r="AC48" i="16" s="1"/>
  <c r="G267" i="53"/>
  <c r="E267" i="53"/>
  <c r="AA266" i="53"/>
  <c r="Y266" i="53"/>
  <c r="W266" i="53"/>
  <c r="U266" i="53"/>
  <c r="S266" i="53"/>
  <c r="Q266" i="53"/>
  <c r="O266" i="53"/>
  <c r="M266" i="53"/>
  <c r="K266" i="53"/>
  <c r="I266" i="53"/>
  <c r="AC47" i="16" s="1"/>
  <c r="G266" i="53"/>
  <c r="E266" i="53"/>
  <c r="AA265" i="53"/>
  <c r="Y265" i="53"/>
  <c r="W265" i="53"/>
  <c r="U265" i="53"/>
  <c r="S265" i="53"/>
  <c r="Q265" i="53"/>
  <c r="O265" i="53"/>
  <c r="M265" i="53"/>
  <c r="K265" i="53"/>
  <c r="I265" i="53"/>
  <c r="AC46" i="16" s="1"/>
  <c r="G265" i="53"/>
  <c r="E265" i="53"/>
  <c r="AA264" i="53"/>
  <c r="Y264" i="53"/>
  <c r="W264" i="53"/>
  <c r="U264" i="53"/>
  <c r="S264" i="53"/>
  <c r="Q264" i="53"/>
  <c r="O264" i="53"/>
  <c r="M264" i="53"/>
  <c r="I264" i="53"/>
  <c r="AC45" i="16" s="1"/>
  <c r="G264" i="53"/>
  <c r="E264" i="53"/>
  <c r="AA263" i="53"/>
  <c r="Y263" i="53"/>
  <c r="W263" i="53"/>
  <c r="U263" i="53"/>
  <c r="S263" i="53"/>
  <c r="Q263" i="53"/>
  <c r="O263" i="53"/>
  <c r="M263" i="53"/>
  <c r="K263" i="53"/>
  <c r="G262" i="53"/>
  <c r="G261" i="53"/>
  <c r="E261" i="53"/>
  <c r="AA260" i="53"/>
  <c r="Y260" i="53"/>
  <c r="W260" i="53"/>
  <c r="U260" i="53"/>
  <c r="S260" i="53"/>
  <c r="Q260" i="53"/>
  <c r="O260" i="53"/>
  <c r="M260" i="53"/>
  <c r="K260" i="53"/>
  <c r="I260" i="53"/>
  <c r="AC42" i="16" s="1"/>
  <c r="G260" i="53"/>
  <c r="E260" i="53"/>
  <c r="AA259" i="53"/>
  <c r="Y259" i="53"/>
  <c r="W259" i="53"/>
  <c r="U259" i="53"/>
  <c r="S259" i="53"/>
  <c r="Q259" i="53"/>
  <c r="O259" i="53"/>
  <c r="M259" i="53"/>
  <c r="K259" i="53"/>
  <c r="I259" i="53"/>
  <c r="AC41" i="16" s="1"/>
  <c r="G259" i="53"/>
  <c r="E259" i="53"/>
  <c r="AA258" i="53"/>
  <c r="Y258" i="53"/>
  <c r="W258" i="53"/>
  <c r="U258" i="53"/>
  <c r="S258" i="53"/>
  <c r="Q258" i="53"/>
  <c r="O258" i="53"/>
  <c r="M258" i="53"/>
  <c r="K258" i="53"/>
  <c r="G258" i="53"/>
  <c r="E258" i="53"/>
  <c r="E249" i="53"/>
  <c r="E248" i="53"/>
  <c r="E247" i="53"/>
  <c r="E246" i="53"/>
  <c r="E245" i="53"/>
  <c r="E250" i="53" l="1"/>
  <c r="E166" i="53" l="1"/>
  <c r="G166" i="53"/>
  <c r="E147" i="53"/>
  <c r="AK195" i="53"/>
  <c r="F152" i="53" s="1"/>
  <c r="G152" i="53" s="1"/>
  <c r="E161" i="53" l="1"/>
  <c r="G168" i="53"/>
  <c r="G169" i="53"/>
  <c r="G170" i="53"/>
  <c r="G171" i="53"/>
  <c r="G167" i="53"/>
  <c r="G165" i="53"/>
  <c r="G164" i="53"/>
  <c r="G161" i="53"/>
  <c r="J114" i="53"/>
  <c r="E113" i="53"/>
  <c r="F150" i="53"/>
  <c r="F147" i="53"/>
  <c r="F148" i="53" l="1"/>
  <c r="G148" i="53" s="1"/>
  <c r="E152" i="53"/>
  <c r="AA171" i="53"/>
  <c r="Y171" i="53"/>
  <c r="W171" i="53"/>
  <c r="U171" i="53"/>
  <c r="S171" i="53"/>
  <c r="Q171" i="53"/>
  <c r="O171" i="53"/>
  <c r="M171" i="53"/>
  <c r="K171" i="53"/>
  <c r="I171" i="53"/>
  <c r="AC34" i="16"/>
  <c r="E171" i="53"/>
  <c r="AA170" i="53"/>
  <c r="Y170" i="53"/>
  <c r="W170" i="53"/>
  <c r="U170" i="53"/>
  <c r="S170" i="53"/>
  <c r="Q170" i="53"/>
  <c r="O170" i="53"/>
  <c r="M170" i="53"/>
  <c r="K170" i="53"/>
  <c r="I170" i="53"/>
  <c r="AC33" i="16"/>
  <c r="E170" i="53"/>
  <c r="AA169" i="53"/>
  <c r="Y169" i="53"/>
  <c r="W169" i="53"/>
  <c r="U169" i="53"/>
  <c r="S169" i="53"/>
  <c r="Q169" i="53"/>
  <c r="O169" i="53"/>
  <c r="M169" i="53"/>
  <c r="K169" i="53"/>
  <c r="I169" i="53"/>
  <c r="AC32" i="16"/>
  <c r="E169" i="53"/>
  <c r="AA168" i="53"/>
  <c r="Y168" i="53"/>
  <c r="W168" i="53"/>
  <c r="U168" i="53"/>
  <c r="S168" i="53"/>
  <c r="Q168" i="53"/>
  <c r="O168" i="53"/>
  <c r="M168" i="53"/>
  <c r="K168" i="53"/>
  <c r="I168" i="53"/>
  <c r="AC31" i="16"/>
  <c r="E168" i="53"/>
  <c r="AA167" i="53"/>
  <c r="Y167" i="53"/>
  <c r="W167" i="53"/>
  <c r="U167" i="53"/>
  <c r="S167" i="53"/>
  <c r="Q167" i="53"/>
  <c r="O167" i="53"/>
  <c r="M167" i="53"/>
  <c r="K167" i="53"/>
  <c r="I167" i="53"/>
  <c r="AC30" i="16"/>
  <c r="E167" i="53"/>
  <c r="AA166" i="53"/>
  <c r="Y166" i="53"/>
  <c r="W166" i="53"/>
  <c r="U166" i="53"/>
  <c r="S166" i="53"/>
  <c r="Q166" i="53"/>
  <c r="O166" i="53"/>
  <c r="M166" i="53"/>
  <c r="K166" i="53"/>
  <c r="I166" i="53"/>
  <c r="AC28" i="16"/>
  <c r="E165" i="53"/>
  <c r="E164" i="53"/>
  <c r="AA163" i="53"/>
  <c r="Y163" i="53"/>
  <c r="W163" i="53"/>
  <c r="U163" i="53"/>
  <c r="S163" i="53"/>
  <c r="Q163" i="53"/>
  <c r="O163" i="53"/>
  <c r="M163" i="53"/>
  <c r="K163" i="53"/>
  <c r="I163" i="53"/>
  <c r="G163" i="53"/>
  <c r="AC27" i="16" s="1"/>
  <c r="E163" i="53"/>
  <c r="AA162" i="53"/>
  <c r="Y162" i="53"/>
  <c r="W162" i="53"/>
  <c r="U162" i="53"/>
  <c r="S162" i="53"/>
  <c r="Q162" i="53"/>
  <c r="O162" i="53"/>
  <c r="M162" i="53"/>
  <c r="K162" i="53"/>
  <c r="I162" i="53"/>
  <c r="G162" i="53"/>
  <c r="AC26" i="16" s="1"/>
  <c r="E162" i="53"/>
  <c r="AA161" i="53"/>
  <c r="Y161" i="53"/>
  <c r="W161" i="53"/>
  <c r="U161" i="53"/>
  <c r="S161" i="53"/>
  <c r="Q161" i="53"/>
  <c r="O161" i="53"/>
  <c r="M161" i="53"/>
  <c r="K161" i="53"/>
  <c r="I161" i="53"/>
  <c r="AC25" i="16"/>
  <c r="G150" i="53"/>
  <c r="AC23" i="16" s="1"/>
  <c r="G147" i="53"/>
  <c r="AC20" i="16" s="1"/>
  <c r="E150" i="53"/>
  <c r="E64" i="53"/>
  <c r="E65" i="53"/>
  <c r="G49" i="53"/>
  <c r="G54" i="53"/>
  <c r="G53" i="53"/>
  <c r="G52" i="53"/>
  <c r="G51" i="53"/>
  <c r="G50" i="53"/>
  <c r="N32" i="16" l="1"/>
  <c r="G32" i="16"/>
  <c r="E149" i="53"/>
  <c r="F149" i="53"/>
  <c r="G149" i="53" s="1"/>
  <c r="AC22" i="16" s="1"/>
  <c r="E151" i="53"/>
  <c r="F151" i="53"/>
  <c r="G151" i="53" s="1"/>
  <c r="AC24" i="16" s="1"/>
  <c r="AC21" i="16"/>
  <c r="E153" i="53" l="1"/>
  <c r="G153" i="53"/>
  <c r="X15" i="16" l="1"/>
  <c r="X204" i="16" s="1"/>
  <c r="E63" i="53" l="1"/>
  <c r="AC11" i="16"/>
  <c r="G11" i="16" s="1"/>
  <c r="AC12" i="16"/>
  <c r="E66" i="53"/>
  <c r="E67" i="53"/>
  <c r="E70" i="53"/>
  <c r="AC16" i="16" s="1"/>
  <c r="E71" i="53"/>
  <c r="AC17" i="16" s="1"/>
  <c r="E72" i="53"/>
  <c r="AC18" i="16" s="1"/>
  <c r="E73" i="53"/>
  <c r="E69" i="53"/>
  <c r="AC15" i="16" s="1"/>
  <c r="E68" i="53"/>
  <c r="AC13" i="16" s="1"/>
  <c r="D50" i="53"/>
  <c r="E50" i="53" s="1"/>
  <c r="AC6" i="16" s="1"/>
  <c r="G6" i="16" s="1"/>
  <c r="D49" i="53"/>
  <c r="E49" i="53" s="1"/>
  <c r="AC19" i="16" l="1"/>
  <c r="P29" i="16"/>
  <c r="M6" i="16"/>
  <c r="L6" i="16"/>
  <c r="I29" i="16" l="1"/>
  <c r="Q29" i="16"/>
  <c r="G29" i="16"/>
  <c r="F29" i="16" s="1"/>
  <c r="N29" i="16"/>
  <c r="N169" i="16" l="1"/>
  <c r="N166" i="16"/>
  <c r="M167" i="16"/>
  <c r="D16" i="57" l="1"/>
  <c r="E16" i="57"/>
  <c r="F16" i="57"/>
  <c r="G16" i="57"/>
  <c r="H16" i="57"/>
  <c r="I16" i="57"/>
  <c r="J16" i="57"/>
  <c r="K16" i="57"/>
  <c r="L16" i="57"/>
  <c r="M16" i="57"/>
  <c r="N16" i="57"/>
  <c r="D17" i="57"/>
  <c r="E17" i="57"/>
  <c r="F17" i="57"/>
  <c r="G17" i="57"/>
  <c r="H17" i="57"/>
  <c r="I17" i="57"/>
  <c r="J17" i="57"/>
  <c r="K17" i="57"/>
  <c r="L17" i="57"/>
  <c r="M17" i="57"/>
  <c r="N17" i="57"/>
  <c r="C17" i="57"/>
  <c r="C16" i="57"/>
  <c r="O17" i="57" l="1"/>
  <c r="P17" i="57" s="1"/>
  <c r="O16" i="57"/>
  <c r="P16" i="57" s="1"/>
  <c r="D15" i="57"/>
  <c r="E15" i="57"/>
  <c r="F15" i="57"/>
  <c r="G15" i="57"/>
  <c r="H15" i="57"/>
  <c r="I15" i="57"/>
  <c r="J15" i="57"/>
  <c r="K15" i="57"/>
  <c r="L15" i="57"/>
  <c r="M15" i="57"/>
  <c r="N15" i="57"/>
  <c r="C15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M19" i="57" l="1"/>
  <c r="I19" i="57"/>
  <c r="E19" i="57"/>
  <c r="L19" i="57"/>
  <c r="H19" i="57"/>
  <c r="D19" i="57"/>
  <c r="N19" i="57"/>
  <c r="J19" i="57"/>
  <c r="F19" i="57"/>
  <c r="O15" i="57"/>
  <c r="P15" i="57" s="1"/>
  <c r="O14" i="57"/>
  <c r="P14" i="57" s="1"/>
  <c r="K19" i="57"/>
  <c r="G19" i="57"/>
  <c r="C19" i="57"/>
  <c r="D29" i="54"/>
  <c r="E29" i="54"/>
  <c r="F29" i="54"/>
  <c r="G29" i="54"/>
  <c r="H29" i="54"/>
  <c r="I29" i="54"/>
  <c r="J29" i="54"/>
  <c r="K29" i="54"/>
  <c r="C29" i="54"/>
  <c r="O29" i="54" s="1"/>
  <c r="C28" i="54"/>
  <c r="O28" i="54" s="1"/>
  <c r="D27" i="54"/>
  <c r="E27" i="54"/>
  <c r="F27" i="54"/>
  <c r="G27" i="54"/>
  <c r="H27" i="54"/>
  <c r="I27" i="54"/>
  <c r="J27" i="54"/>
  <c r="K27" i="54"/>
  <c r="D28" i="54"/>
  <c r="E28" i="54"/>
  <c r="F28" i="54"/>
  <c r="G28" i="54"/>
  <c r="H28" i="54"/>
  <c r="I28" i="54"/>
  <c r="J28" i="54"/>
  <c r="K28" i="54"/>
  <c r="C27" i="54"/>
  <c r="O27" i="54" s="1"/>
  <c r="J31" i="54" l="1"/>
  <c r="F31" i="54"/>
  <c r="C31" i="54"/>
  <c r="I31" i="54"/>
  <c r="E31" i="54"/>
  <c r="P19" i="57"/>
  <c r="H31" i="54"/>
  <c r="D31" i="54"/>
  <c r="K31" i="54"/>
  <c r="G31" i="54"/>
  <c r="O31" i="54" l="1"/>
  <c r="M15" i="16" l="1"/>
  <c r="D10" i="57"/>
  <c r="E10" i="57"/>
  <c r="F10" i="57"/>
  <c r="G10" i="57"/>
  <c r="H10" i="57"/>
  <c r="I10" i="57"/>
  <c r="J10" i="57"/>
  <c r="K10" i="57"/>
  <c r="L10" i="57"/>
  <c r="M10" i="57"/>
  <c r="N10" i="57"/>
  <c r="O10" i="57"/>
  <c r="C10" i="57"/>
  <c r="D9" i="57"/>
  <c r="E9" i="57"/>
  <c r="F9" i="57"/>
  <c r="G9" i="57"/>
  <c r="H9" i="57"/>
  <c r="I9" i="57"/>
  <c r="J9" i="57"/>
  <c r="K9" i="57"/>
  <c r="L9" i="57"/>
  <c r="M9" i="57"/>
  <c r="N9" i="57"/>
  <c r="O9" i="57"/>
  <c r="C9" i="57"/>
  <c r="D8" i="57"/>
  <c r="E8" i="57"/>
  <c r="F8" i="57"/>
  <c r="G8" i="57"/>
  <c r="H8" i="57"/>
  <c r="I8" i="57"/>
  <c r="J8" i="57"/>
  <c r="K8" i="57"/>
  <c r="L8" i="57"/>
  <c r="M8" i="57"/>
  <c r="N8" i="57"/>
  <c r="O8" i="57"/>
  <c r="C8" i="57"/>
  <c r="D4" i="57"/>
  <c r="E4" i="57"/>
  <c r="F4" i="57"/>
  <c r="G4" i="57"/>
  <c r="H4" i="57"/>
  <c r="I4" i="57"/>
  <c r="J4" i="57"/>
  <c r="K4" i="57"/>
  <c r="L4" i="57"/>
  <c r="M4" i="57"/>
  <c r="N4" i="57"/>
  <c r="O4" i="57"/>
  <c r="C4" i="57"/>
  <c r="D3" i="57"/>
  <c r="E3" i="57"/>
  <c r="F3" i="57"/>
  <c r="G3" i="57"/>
  <c r="H3" i="57"/>
  <c r="I3" i="57"/>
  <c r="J3" i="57"/>
  <c r="K3" i="57"/>
  <c r="L3" i="57"/>
  <c r="M3" i="57"/>
  <c r="N3" i="57"/>
  <c r="O3" i="57"/>
  <c r="C3" i="57"/>
  <c r="D2" i="57"/>
  <c r="E2" i="57"/>
  <c r="F2" i="57"/>
  <c r="G2" i="57"/>
  <c r="H2" i="57"/>
  <c r="I2" i="57"/>
  <c r="J2" i="57"/>
  <c r="K2" i="57"/>
  <c r="L2" i="57"/>
  <c r="M2" i="57"/>
  <c r="N2" i="57"/>
  <c r="O2" i="57"/>
  <c r="C2" i="57"/>
  <c r="L11" i="57" l="1"/>
  <c r="N11" i="57"/>
  <c r="J11" i="57"/>
  <c r="H11" i="57"/>
  <c r="D11" i="57"/>
  <c r="L5" i="57"/>
  <c r="H5" i="57"/>
  <c r="N5" i="57"/>
  <c r="F5" i="57"/>
  <c r="D5" i="57"/>
  <c r="M5" i="57"/>
  <c r="I5" i="57"/>
  <c r="E5" i="57"/>
  <c r="F11" i="57"/>
  <c r="J5" i="57"/>
  <c r="O5" i="57"/>
  <c r="K5" i="57"/>
  <c r="G5" i="57"/>
  <c r="C5" i="57"/>
  <c r="K11" i="57"/>
  <c r="O11" i="57"/>
  <c r="G11" i="57"/>
  <c r="C11" i="57"/>
  <c r="E11" i="57"/>
  <c r="I11" i="57"/>
  <c r="M11" i="57"/>
  <c r="M98" i="16" l="1"/>
  <c r="K98" i="16"/>
  <c r="G98" i="16" s="1"/>
  <c r="N98" i="16" l="1"/>
  <c r="N100" i="16"/>
  <c r="D10" i="21"/>
  <c r="D12" i="21"/>
  <c r="D13" i="21"/>
  <c r="D14" i="21"/>
  <c r="D15" i="21"/>
  <c r="D16" i="21"/>
  <c r="D17" i="21"/>
  <c r="D18" i="21"/>
  <c r="D19" i="21"/>
  <c r="D20" i="21"/>
  <c r="D9" i="21"/>
  <c r="N6" i="16"/>
  <c r="N11" i="16"/>
  <c r="N12" i="16"/>
  <c r="N13" i="16"/>
  <c r="N15" i="16"/>
  <c r="N16" i="16"/>
  <c r="N17" i="16"/>
  <c r="N18" i="16"/>
  <c r="N19" i="16"/>
  <c r="N20" i="16"/>
  <c r="N21" i="16"/>
  <c r="N22" i="16"/>
  <c r="N23" i="16"/>
  <c r="N24" i="16"/>
  <c r="N25" i="16"/>
  <c r="N35" i="16"/>
  <c r="N36" i="16"/>
  <c r="N37" i="16"/>
  <c r="N38" i="16"/>
  <c r="N39" i="16"/>
  <c r="N40" i="16"/>
  <c r="N41" i="16"/>
  <c r="N42" i="16"/>
  <c r="N43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5" i="16"/>
  <c r="N76" i="16"/>
  <c r="N77" i="16"/>
  <c r="N78" i="16"/>
  <c r="N79" i="16"/>
  <c r="N99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7" i="16"/>
  <c r="N168" i="16"/>
  <c r="N170" i="16"/>
  <c r="N171" i="16"/>
  <c r="N172" i="16"/>
  <c r="N173" i="16"/>
  <c r="N174" i="16"/>
  <c r="N175" i="16"/>
  <c r="N201" i="16"/>
  <c r="N202" i="16"/>
  <c r="N203" i="16"/>
  <c r="O93" i="16" l="1"/>
  <c r="K89" i="16" l="1"/>
  <c r="G89" i="16" s="1"/>
  <c r="N96" i="16" l="1"/>
  <c r="N95" i="16"/>
  <c r="N94" i="16"/>
  <c r="N93" i="16"/>
  <c r="N91" i="16"/>
  <c r="N90" i="16"/>
  <c r="N89" i="16"/>
  <c r="N82" i="16"/>
  <c r="AA73" i="53"/>
  <c r="Y73" i="53"/>
  <c r="W73" i="53"/>
  <c r="U73" i="53"/>
  <c r="S73" i="53"/>
  <c r="Q73" i="53"/>
  <c r="O73" i="53"/>
  <c r="M73" i="53"/>
  <c r="K73" i="53"/>
  <c r="I73" i="53"/>
  <c r="G73" i="53"/>
  <c r="N34" i="16" s="1"/>
  <c r="AA72" i="53"/>
  <c r="Y72" i="53"/>
  <c r="W72" i="53"/>
  <c r="U72" i="53"/>
  <c r="S72" i="53"/>
  <c r="Q72" i="53"/>
  <c r="O72" i="53"/>
  <c r="M72" i="53"/>
  <c r="K72" i="53"/>
  <c r="I72" i="53"/>
  <c r="G72" i="53"/>
  <c r="N33" i="16" s="1"/>
  <c r="AA71" i="53"/>
  <c r="Y71" i="53"/>
  <c r="W71" i="53"/>
  <c r="U71" i="53"/>
  <c r="S71" i="53"/>
  <c r="Q71" i="53"/>
  <c r="O71" i="53"/>
  <c r="M71" i="53"/>
  <c r="K71" i="53"/>
  <c r="I71" i="53"/>
  <c r="G71" i="53"/>
  <c r="AA70" i="53"/>
  <c r="Y70" i="53"/>
  <c r="W70" i="53"/>
  <c r="U70" i="53"/>
  <c r="S70" i="53"/>
  <c r="Q70" i="53"/>
  <c r="O70" i="53"/>
  <c r="M70" i="53"/>
  <c r="K70" i="53"/>
  <c r="I70" i="53"/>
  <c r="G70" i="53"/>
  <c r="N31" i="16" s="1"/>
  <c r="AA69" i="53"/>
  <c r="Y69" i="53"/>
  <c r="W69" i="53"/>
  <c r="U69" i="53"/>
  <c r="S69" i="53"/>
  <c r="Q69" i="53"/>
  <c r="O69" i="53"/>
  <c r="M69" i="53"/>
  <c r="K69" i="53"/>
  <c r="I69" i="53"/>
  <c r="G69" i="53"/>
  <c r="N30" i="16" s="1"/>
  <c r="AA68" i="53"/>
  <c r="Y68" i="53"/>
  <c r="W68" i="53"/>
  <c r="U68" i="53"/>
  <c r="S68" i="53"/>
  <c r="Q68" i="53"/>
  <c r="O68" i="53"/>
  <c r="M68" i="53"/>
  <c r="K68" i="53"/>
  <c r="I68" i="53"/>
  <c r="G68" i="53"/>
  <c r="N28" i="16" s="1"/>
  <c r="AA65" i="53"/>
  <c r="Y65" i="53"/>
  <c r="W65" i="53"/>
  <c r="U65" i="53"/>
  <c r="S65" i="53"/>
  <c r="Q65" i="53"/>
  <c r="O65" i="53"/>
  <c r="M65" i="53"/>
  <c r="K65" i="53"/>
  <c r="I65" i="53"/>
  <c r="G65" i="53"/>
  <c r="N27" i="16" s="1"/>
  <c r="AA64" i="53"/>
  <c r="Y64" i="53"/>
  <c r="W64" i="53"/>
  <c r="U64" i="53"/>
  <c r="S64" i="53"/>
  <c r="Q64" i="53"/>
  <c r="O64" i="53"/>
  <c r="M64" i="53"/>
  <c r="K64" i="53"/>
  <c r="I64" i="53"/>
  <c r="G64" i="53"/>
  <c r="N26" i="16" s="1"/>
  <c r="AA63" i="53"/>
  <c r="Y63" i="53"/>
  <c r="W63" i="53"/>
  <c r="U63" i="53"/>
  <c r="S63" i="53"/>
  <c r="Q63" i="53"/>
  <c r="O63" i="53"/>
  <c r="M63" i="53"/>
  <c r="K63" i="53"/>
  <c r="I63" i="53"/>
  <c r="G63" i="53"/>
  <c r="AC5" i="16" l="1"/>
  <c r="D52" i="53"/>
  <c r="E52" i="53" s="1"/>
  <c r="AC8" i="16" s="1"/>
  <c r="D51" i="53"/>
  <c r="E51" i="53" s="1"/>
  <c r="AC7" i="16" s="1"/>
  <c r="D53" i="53"/>
  <c r="E53" i="53" s="1"/>
  <c r="N97" i="16"/>
  <c r="N88" i="16"/>
  <c r="N84" i="16"/>
  <c r="N83" i="16"/>
  <c r="N80" i="16"/>
  <c r="N81" i="16"/>
  <c r="G5" i="16" l="1"/>
  <c r="N7" i="16"/>
  <c r="N8" i="16"/>
  <c r="N5" i="16"/>
  <c r="AC9" i="16"/>
  <c r="O47" i="16"/>
  <c r="P47" i="16" s="1"/>
  <c r="O46" i="16"/>
  <c r="P46" i="16" s="1"/>
  <c r="O45" i="16"/>
  <c r="P45" i="16" s="1"/>
  <c r="O43" i="16"/>
  <c r="M43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5" i="16"/>
  <c r="M76" i="16"/>
  <c r="M77" i="16"/>
  <c r="M78" i="16"/>
  <c r="M79" i="16"/>
  <c r="M80" i="16"/>
  <c r="M81" i="16"/>
  <c r="M82" i="16"/>
  <c r="M83" i="16"/>
  <c r="M84" i="16"/>
  <c r="M88" i="16"/>
  <c r="M89" i="16"/>
  <c r="M90" i="16"/>
  <c r="M91" i="16"/>
  <c r="M93" i="16"/>
  <c r="M94" i="16"/>
  <c r="M95" i="16"/>
  <c r="M96" i="16"/>
  <c r="M97" i="16"/>
  <c r="M99" i="16"/>
  <c r="M100" i="16"/>
  <c r="M101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8" i="16"/>
  <c r="M169" i="16"/>
  <c r="M170" i="16"/>
  <c r="M171" i="16"/>
  <c r="M172" i="16"/>
  <c r="M173" i="16"/>
  <c r="M174" i="16"/>
  <c r="M175" i="16"/>
  <c r="M201" i="16"/>
  <c r="M202" i="16"/>
  <c r="M203" i="16"/>
  <c r="L43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5" i="16"/>
  <c r="L76" i="16"/>
  <c r="L77" i="16"/>
  <c r="L78" i="16"/>
  <c r="L79" i="16"/>
  <c r="L80" i="16"/>
  <c r="L81" i="16"/>
  <c r="L82" i="16"/>
  <c r="L83" i="16"/>
  <c r="L84" i="16"/>
  <c r="L88" i="16"/>
  <c r="L89" i="16"/>
  <c r="L90" i="16"/>
  <c r="L91" i="16"/>
  <c r="L93" i="16"/>
  <c r="L94" i="16"/>
  <c r="L95" i="16"/>
  <c r="L96" i="16"/>
  <c r="L97" i="16"/>
  <c r="L98" i="16"/>
  <c r="L99" i="16"/>
  <c r="L100" i="16"/>
  <c r="L101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201" i="16"/>
  <c r="L202" i="16"/>
  <c r="L203" i="16"/>
  <c r="K43" i="16"/>
  <c r="G43" i="16" s="1"/>
  <c r="K45" i="16"/>
  <c r="G45" i="16" s="1"/>
  <c r="K46" i="16"/>
  <c r="G46" i="16" s="1"/>
  <c r="K47" i="16"/>
  <c r="G47" i="16" s="1"/>
  <c r="K48" i="16"/>
  <c r="G48" i="16" s="1"/>
  <c r="K49" i="16"/>
  <c r="G49" i="16" s="1"/>
  <c r="K50" i="16"/>
  <c r="G50" i="16" s="1"/>
  <c r="K51" i="16"/>
  <c r="G51" i="16" s="1"/>
  <c r="K52" i="16"/>
  <c r="G52" i="16" s="1"/>
  <c r="K53" i="16"/>
  <c r="G53" i="16" s="1"/>
  <c r="K54" i="16"/>
  <c r="G54" i="16" s="1"/>
  <c r="K55" i="16"/>
  <c r="G55" i="16" s="1"/>
  <c r="K56" i="16"/>
  <c r="G56" i="16" s="1"/>
  <c r="K57" i="16"/>
  <c r="G57" i="16" s="1"/>
  <c r="K58" i="16"/>
  <c r="G58" i="16" s="1"/>
  <c r="K60" i="16"/>
  <c r="G60" i="16" s="1"/>
  <c r="K61" i="16"/>
  <c r="G61" i="16" s="1"/>
  <c r="K62" i="16"/>
  <c r="G62" i="16" s="1"/>
  <c r="K63" i="16"/>
  <c r="G63" i="16" s="1"/>
  <c r="K64" i="16"/>
  <c r="G64" i="16" s="1"/>
  <c r="K65" i="16"/>
  <c r="G65" i="16" s="1"/>
  <c r="K66" i="16"/>
  <c r="G66" i="16" s="1"/>
  <c r="K67" i="16"/>
  <c r="G67" i="16" s="1"/>
  <c r="K68" i="16"/>
  <c r="G68" i="16" s="1"/>
  <c r="K69" i="16"/>
  <c r="G69" i="16" s="1"/>
  <c r="K70" i="16"/>
  <c r="G70" i="16" s="1"/>
  <c r="K71" i="16"/>
  <c r="G71" i="16" s="1"/>
  <c r="K72" i="16"/>
  <c r="G72" i="16" s="1"/>
  <c r="K73" i="16"/>
  <c r="G73" i="16" s="1"/>
  <c r="K75" i="16"/>
  <c r="G75" i="16" s="1"/>
  <c r="K76" i="16"/>
  <c r="G76" i="16" s="1"/>
  <c r="K77" i="16"/>
  <c r="G77" i="16" s="1"/>
  <c r="K78" i="16"/>
  <c r="G78" i="16" s="1"/>
  <c r="K79" i="16"/>
  <c r="G79" i="16" s="1"/>
  <c r="K80" i="16"/>
  <c r="G80" i="16" s="1"/>
  <c r="K81" i="16"/>
  <c r="G81" i="16" s="1"/>
  <c r="K82" i="16"/>
  <c r="G82" i="16" s="1"/>
  <c r="K83" i="16"/>
  <c r="G83" i="16" s="1"/>
  <c r="K84" i="16"/>
  <c r="G84" i="16" s="1"/>
  <c r="K88" i="16"/>
  <c r="G88" i="16" s="1"/>
  <c r="K90" i="16"/>
  <c r="G90" i="16" s="1"/>
  <c r="K91" i="16"/>
  <c r="G91" i="16" s="1"/>
  <c r="K93" i="16"/>
  <c r="G93" i="16" s="1"/>
  <c r="K94" i="16"/>
  <c r="G94" i="16" s="1"/>
  <c r="K95" i="16"/>
  <c r="G95" i="16" s="1"/>
  <c r="K96" i="16"/>
  <c r="G96" i="16" s="1"/>
  <c r="K97" i="16"/>
  <c r="G97" i="16" s="1"/>
  <c r="K99" i="16"/>
  <c r="G99" i="16" s="1"/>
  <c r="K100" i="16"/>
  <c r="G100" i="16" s="1"/>
  <c r="K101" i="16"/>
  <c r="G101" i="16" s="1"/>
  <c r="G103" i="16"/>
  <c r="G104" i="16"/>
  <c r="G105" i="16"/>
  <c r="G108" i="16"/>
  <c r="G109" i="16"/>
  <c r="G111" i="16"/>
  <c r="G112" i="16"/>
  <c r="G113" i="16"/>
  <c r="K114" i="16"/>
  <c r="G114" i="16" s="1"/>
  <c r="K115" i="16"/>
  <c r="G115" i="16" s="1"/>
  <c r="K116" i="16"/>
  <c r="G116" i="16" s="1"/>
  <c r="K117" i="16"/>
  <c r="G117" i="16" s="1"/>
  <c r="K118" i="16"/>
  <c r="G118" i="16" s="1"/>
  <c r="K119" i="16"/>
  <c r="G119" i="16" s="1"/>
  <c r="K120" i="16"/>
  <c r="G120" i="16" s="1"/>
  <c r="K121" i="16"/>
  <c r="G121" i="16" s="1"/>
  <c r="K122" i="16"/>
  <c r="G122" i="16" s="1"/>
  <c r="K123" i="16"/>
  <c r="G123" i="16" s="1"/>
  <c r="K124" i="16"/>
  <c r="G124" i="16" s="1"/>
  <c r="K125" i="16"/>
  <c r="G125" i="16" s="1"/>
  <c r="K126" i="16"/>
  <c r="G126" i="16" s="1"/>
  <c r="K127" i="16"/>
  <c r="G127" i="16" s="1"/>
  <c r="K128" i="16"/>
  <c r="G128" i="16" s="1"/>
  <c r="K129" i="16"/>
  <c r="G129" i="16" s="1"/>
  <c r="K130" i="16"/>
  <c r="G130" i="16" s="1"/>
  <c r="K131" i="16"/>
  <c r="G131" i="16" s="1"/>
  <c r="K132" i="16"/>
  <c r="G132" i="16" s="1"/>
  <c r="K133" i="16"/>
  <c r="G133" i="16" s="1"/>
  <c r="K134" i="16"/>
  <c r="G134" i="16" s="1"/>
  <c r="K135" i="16"/>
  <c r="G135" i="16" s="1"/>
  <c r="K136" i="16"/>
  <c r="G136" i="16" s="1"/>
  <c r="K137" i="16"/>
  <c r="G137" i="16" s="1"/>
  <c r="K138" i="16"/>
  <c r="G138" i="16" s="1"/>
  <c r="K139" i="16"/>
  <c r="G139" i="16" s="1"/>
  <c r="K140" i="16"/>
  <c r="G140" i="16" s="1"/>
  <c r="K141" i="16"/>
  <c r="G141" i="16" s="1"/>
  <c r="K142" i="16"/>
  <c r="G142" i="16" s="1"/>
  <c r="K143" i="16"/>
  <c r="G143" i="16" s="1"/>
  <c r="K144" i="16"/>
  <c r="G144" i="16" s="1"/>
  <c r="K145" i="16"/>
  <c r="G145" i="16" s="1"/>
  <c r="K146" i="16"/>
  <c r="G146" i="16" s="1"/>
  <c r="K147" i="16"/>
  <c r="G147" i="16" s="1"/>
  <c r="K148" i="16"/>
  <c r="G148" i="16" s="1"/>
  <c r="K149" i="16"/>
  <c r="G149" i="16" s="1"/>
  <c r="K150" i="16"/>
  <c r="G150" i="16" s="1"/>
  <c r="K151" i="16"/>
  <c r="G151" i="16" s="1"/>
  <c r="K152" i="16"/>
  <c r="G152" i="16" s="1"/>
  <c r="K153" i="16"/>
  <c r="G153" i="16" s="1"/>
  <c r="K154" i="16"/>
  <c r="G154" i="16" s="1"/>
  <c r="K155" i="16"/>
  <c r="G155" i="16" s="1"/>
  <c r="K156" i="16"/>
  <c r="G156" i="16" s="1"/>
  <c r="K157" i="16"/>
  <c r="G157" i="16" s="1"/>
  <c r="K158" i="16"/>
  <c r="G158" i="16" s="1"/>
  <c r="K159" i="16"/>
  <c r="G159" i="16" s="1"/>
  <c r="K160" i="16"/>
  <c r="G160" i="16" s="1"/>
  <c r="K161" i="16"/>
  <c r="G161" i="16" s="1"/>
  <c r="K162" i="16"/>
  <c r="G162" i="16" s="1"/>
  <c r="K163" i="16"/>
  <c r="G163" i="16" s="1"/>
  <c r="K164" i="16"/>
  <c r="G164" i="16" s="1"/>
  <c r="K165" i="16"/>
  <c r="G165" i="16" s="1"/>
  <c r="K166" i="16"/>
  <c r="G166" i="16" s="1"/>
  <c r="K167" i="16"/>
  <c r="G167" i="16" s="1"/>
  <c r="K168" i="16"/>
  <c r="G168" i="16" s="1"/>
  <c r="K169" i="16"/>
  <c r="G169" i="16" s="1"/>
  <c r="K170" i="16"/>
  <c r="G170" i="16" s="1"/>
  <c r="K171" i="16"/>
  <c r="G171" i="16" s="1"/>
  <c r="K172" i="16"/>
  <c r="G172" i="16" s="1"/>
  <c r="K173" i="16"/>
  <c r="G173" i="16" s="1"/>
  <c r="K174" i="16"/>
  <c r="G174" i="16" s="1"/>
  <c r="K175" i="16"/>
  <c r="G175" i="16" s="1"/>
  <c r="G200" i="16"/>
  <c r="K201" i="16"/>
  <c r="G201" i="16" s="1"/>
  <c r="K202" i="16"/>
  <c r="G202" i="16" s="1"/>
  <c r="K203" i="16"/>
  <c r="G203" i="16" s="1"/>
  <c r="J43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5" i="16"/>
  <c r="J76" i="16"/>
  <c r="J77" i="16"/>
  <c r="J78" i="16"/>
  <c r="J79" i="16"/>
  <c r="J80" i="16"/>
  <c r="J81" i="16"/>
  <c r="J82" i="16"/>
  <c r="J83" i="16"/>
  <c r="J84" i="16"/>
  <c r="J88" i="16"/>
  <c r="J89" i="16"/>
  <c r="J90" i="16"/>
  <c r="J91" i="16"/>
  <c r="J93" i="16"/>
  <c r="J94" i="16"/>
  <c r="J95" i="16"/>
  <c r="J96" i="16"/>
  <c r="J97" i="16"/>
  <c r="J98" i="16"/>
  <c r="J99" i="16"/>
  <c r="J100" i="16"/>
  <c r="J101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201" i="16"/>
  <c r="J202" i="16"/>
  <c r="J203" i="16"/>
  <c r="H201" i="16"/>
  <c r="H202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56" i="16"/>
  <c r="P143" i="16"/>
  <c r="P144" i="16"/>
  <c r="P145" i="16"/>
  <c r="P146" i="16"/>
  <c r="P147" i="16"/>
  <c r="P148" i="16"/>
  <c r="P149" i="16"/>
  <c r="O150" i="16"/>
  <c r="P150" i="16" s="1"/>
  <c r="P151" i="16"/>
  <c r="P152" i="16"/>
  <c r="P153" i="16"/>
  <c r="P154" i="16"/>
  <c r="P155" i="16"/>
  <c r="P142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28" i="16"/>
  <c r="O117" i="16"/>
  <c r="P117" i="16" s="1"/>
  <c r="O118" i="16"/>
  <c r="P118" i="16" s="1"/>
  <c r="O119" i="16"/>
  <c r="P119" i="16" s="1"/>
  <c r="P120" i="16"/>
  <c r="P121" i="16"/>
  <c r="O122" i="16"/>
  <c r="P122" i="16" s="1"/>
  <c r="O123" i="16"/>
  <c r="P123" i="16" s="1"/>
  <c r="O124" i="16"/>
  <c r="P124" i="16" s="1"/>
  <c r="O125" i="16"/>
  <c r="P125" i="16" s="1"/>
  <c r="O126" i="16"/>
  <c r="P126" i="16" s="1"/>
  <c r="O127" i="16"/>
  <c r="P127" i="16" s="1"/>
  <c r="O116" i="16"/>
  <c r="P116" i="16" s="1"/>
  <c r="O99" i="16"/>
  <c r="P99" i="16" s="1"/>
  <c r="O100" i="16"/>
  <c r="P100" i="16" s="1"/>
  <c r="O101" i="16"/>
  <c r="O114" i="16"/>
  <c r="P114" i="16" s="1"/>
  <c r="O115" i="16"/>
  <c r="P115" i="16" s="1"/>
  <c r="O98" i="16"/>
  <c r="P98" i="16" s="1"/>
  <c r="O81" i="16"/>
  <c r="P81" i="16" s="1"/>
  <c r="O82" i="16"/>
  <c r="P82" i="16" s="1"/>
  <c r="O83" i="16"/>
  <c r="P83" i="16" s="1"/>
  <c r="O84" i="16"/>
  <c r="P84" i="16" s="1"/>
  <c r="O88" i="16"/>
  <c r="P88" i="16" s="1"/>
  <c r="O89" i="16"/>
  <c r="P89" i="16" s="1"/>
  <c r="O90" i="16"/>
  <c r="P90" i="16" s="1"/>
  <c r="O91" i="16"/>
  <c r="P91" i="16" s="1"/>
  <c r="P93" i="16"/>
  <c r="Q93" i="16" s="1"/>
  <c r="O94" i="16"/>
  <c r="P94" i="16" s="1"/>
  <c r="O95" i="16"/>
  <c r="P95" i="16" s="1"/>
  <c r="O96" i="16"/>
  <c r="P96" i="16" s="1"/>
  <c r="O97" i="16"/>
  <c r="P97" i="16" s="1"/>
  <c r="O80" i="16"/>
  <c r="P80" i="16" s="1"/>
  <c r="O66" i="16"/>
  <c r="P66" i="16" s="1"/>
  <c r="O67" i="16"/>
  <c r="P67" i="16" s="1"/>
  <c r="O68" i="16"/>
  <c r="P68" i="16" s="1"/>
  <c r="O69" i="16"/>
  <c r="P69" i="16" s="1"/>
  <c r="O70" i="16"/>
  <c r="P70" i="16" s="1"/>
  <c r="O71" i="16"/>
  <c r="P71" i="16" s="1"/>
  <c r="O72" i="16"/>
  <c r="P72" i="16" s="1"/>
  <c r="O73" i="16"/>
  <c r="P73" i="16" s="1"/>
  <c r="O75" i="16"/>
  <c r="P75" i="16" s="1"/>
  <c r="O76" i="16"/>
  <c r="P76" i="16" s="1"/>
  <c r="O77" i="16"/>
  <c r="P77" i="16" s="1"/>
  <c r="O78" i="16"/>
  <c r="P78" i="16" s="1"/>
  <c r="O79" i="16"/>
  <c r="P79" i="16" s="1"/>
  <c r="O65" i="16"/>
  <c r="P65" i="16" s="1"/>
  <c r="O51" i="16"/>
  <c r="P51" i="16" s="1"/>
  <c r="O52" i="16"/>
  <c r="P52" i="16" s="1"/>
  <c r="O53" i="16"/>
  <c r="P53" i="16" s="1"/>
  <c r="O54" i="16"/>
  <c r="P54" i="16" s="1"/>
  <c r="O55" i="16"/>
  <c r="P55" i="16" s="1"/>
  <c r="O56" i="16"/>
  <c r="P56" i="16" s="1"/>
  <c r="O57" i="16"/>
  <c r="P57" i="16" s="1"/>
  <c r="O58" i="16"/>
  <c r="P58" i="16" s="1"/>
  <c r="O60" i="16"/>
  <c r="P60" i="16" s="1"/>
  <c r="O61" i="16"/>
  <c r="P61" i="16" s="1"/>
  <c r="O62" i="16"/>
  <c r="P62" i="16" s="1"/>
  <c r="O63" i="16"/>
  <c r="P63" i="16" s="1"/>
  <c r="O64" i="16"/>
  <c r="P64" i="16" s="1"/>
  <c r="P50" i="16"/>
  <c r="O36" i="16"/>
  <c r="P36" i="16" s="1"/>
  <c r="O37" i="16"/>
  <c r="P37" i="16" s="1"/>
  <c r="O38" i="16"/>
  <c r="P38" i="16" s="1"/>
  <c r="O39" i="16"/>
  <c r="P39" i="16" s="1"/>
  <c r="O40" i="16"/>
  <c r="P40" i="16" s="1"/>
  <c r="O41" i="16"/>
  <c r="P41" i="16" s="1"/>
  <c r="O42" i="16"/>
  <c r="P42" i="16" s="1"/>
  <c r="O48" i="16"/>
  <c r="P48" i="16" s="1"/>
  <c r="O49" i="16"/>
  <c r="P49" i="16" s="1"/>
  <c r="O35" i="16"/>
  <c r="P35" i="16" s="1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K35" i="16"/>
  <c r="G35" i="16" s="1"/>
  <c r="K36" i="16"/>
  <c r="G36" i="16" s="1"/>
  <c r="K37" i="16"/>
  <c r="G37" i="16" s="1"/>
  <c r="K38" i="16"/>
  <c r="G38" i="16" s="1"/>
  <c r="K40" i="16"/>
  <c r="G40" i="16" s="1"/>
  <c r="K41" i="16"/>
  <c r="G41" i="16" s="1"/>
  <c r="K42" i="16"/>
  <c r="G42" i="16" s="1"/>
  <c r="J35" i="16"/>
  <c r="J36" i="16"/>
  <c r="J37" i="16"/>
  <c r="J38" i="16"/>
  <c r="J39" i="16"/>
  <c r="J40" i="16"/>
  <c r="J41" i="16"/>
  <c r="J42" i="16"/>
  <c r="Q168" i="16" l="1"/>
  <c r="Q36" i="16"/>
  <c r="P43" i="16"/>
  <c r="Q43" i="16" s="1"/>
  <c r="H43" i="16"/>
  <c r="N9" i="16"/>
  <c r="Q91" i="16"/>
  <c r="P202" i="16"/>
  <c r="Q202" i="16" s="1"/>
  <c r="P174" i="16"/>
  <c r="Q174" i="16" s="1"/>
  <c r="H174" i="16"/>
  <c r="P201" i="16"/>
  <c r="Q201" i="16" s="1"/>
  <c r="P173" i="16"/>
  <c r="I173" i="16" s="1"/>
  <c r="H173" i="16"/>
  <c r="P170" i="16"/>
  <c r="Q170" i="16" s="1"/>
  <c r="H170" i="16"/>
  <c r="P172" i="16"/>
  <c r="Q172" i="16" s="1"/>
  <c r="H172" i="16"/>
  <c r="P203" i="16"/>
  <c r="Q203" i="16" s="1"/>
  <c r="H203" i="16"/>
  <c r="P175" i="16"/>
  <c r="I175" i="16" s="1"/>
  <c r="H175" i="16"/>
  <c r="P171" i="16"/>
  <c r="Q171" i="16" s="1"/>
  <c r="H171" i="16"/>
  <c r="Q94" i="16"/>
  <c r="Q47" i="16"/>
  <c r="Q45" i="16"/>
  <c r="Q46" i="16"/>
  <c r="Q164" i="16"/>
  <c r="Q160" i="16"/>
  <c r="Q156" i="16"/>
  <c r="Q153" i="16"/>
  <c r="Q149" i="16"/>
  <c r="Q145" i="16"/>
  <c r="Q138" i="16"/>
  <c r="Q134" i="16"/>
  <c r="Q130" i="16"/>
  <c r="Q127" i="16"/>
  <c r="Q123" i="16"/>
  <c r="Q117" i="16"/>
  <c r="Q114" i="16"/>
  <c r="Q98" i="16"/>
  <c r="Q95" i="16"/>
  <c r="Q90" i="16"/>
  <c r="Q83" i="16"/>
  <c r="Q167" i="16"/>
  <c r="Q163" i="16"/>
  <c r="Q159" i="16"/>
  <c r="Q152" i="16"/>
  <c r="Q148" i="16"/>
  <c r="Q144" i="16"/>
  <c r="Q141" i="16"/>
  <c r="Q137" i="16"/>
  <c r="Q133" i="16"/>
  <c r="Q129" i="16"/>
  <c r="Q126" i="16"/>
  <c r="Q122" i="16"/>
  <c r="Q120" i="16"/>
  <c r="Q116" i="16"/>
  <c r="Q89" i="16"/>
  <c r="Q82" i="16"/>
  <c r="Q166" i="16"/>
  <c r="Q162" i="16"/>
  <c r="Q158" i="16"/>
  <c r="Q155" i="16"/>
  <c r="Q151" i="16"/>
  <c r="Q147" i="16"/>
  <c r="Q143" i="16"/>
  <c r="Q140" i="16"/>
  <c r="Q136" i="16"/>
  <c r="Q132" i="16"/>
  <c r="Q128" i="16"/>
  <c r="Q125" i="16"/>
  <c r="Q121" i="16"/>
  <c r="Q119" i="16"/>
  <c r="Q100" i="16"/>
  <c r="Q97" i="16"/>
  <c r="Q88" i="16"/>
  <c r="Q81" i="16"/>
  <c r="Q169" i="16"/>
  <c r="Q165" i="16"/>
  <c r="Q161" i="16"/>
  <c r="Q157" i="16"/>
  <c r="Q154" i="16"/>
  <c r="Q150" i="16"/>
  <c r="Q146" i="16"/>
  <c r="Q142" i="16"/>
  <c r="Q139" i="16"/>
  <c r="Q135" i="16"/>
  <c r="Q131" i="16"/>
  <c r="Q124" i="16"/>
  <c r="Q118" i="16"/>
  <c r="Q115" i="16"/>
  <c r="Q99" i="16"/>
  <c r="Q96" i="16"/>
  <c r="Q84" i="16"/>
  <c r="Q80" i="16"/>
  <c r="Q64" i="16"/>
  <c r="Q51" i="16"/>
  <c r="Q58" i="16"/>
  <c r="Q48" i="16"/>
  <c r="Q71" i="16"/>
  <c r="Q67" i="16"/>
  <c r="Q66" i="16"/>
  <c r="Q78" i="16"/>
  <c r="Q77" i="16"/>
  <c r="Q79" i="16"/>
  <c r="Q76" i="16"/>
  <c r="Q72" i="16"/>
  <c r="Q75" i="16"/>
  <c r="Q73" i="16"/>
  <c r="Q70" i="16"/>
  <c r="Q69" i="16"/>
  <c r="Q68" i="16"/>
  <c r="Q65" i="16"/>
  <c r="Q63" i="16"/>
  <c r="Q62" i="16"/>
  <c r="Q61" i="16"/>
  <c r="Q60" i="16"/>
  <c r="Q56" i="16"/>
  <c r="Q55" i="16"/>
  <c r="Q57" i="16"/>
  <c r="Q54" i="16"/>
  <c r="Q53" i="16"/>
  <c r="Q50" i="16"/>
  <c r="Q52" i="16"/>
  <c r="Q49" i="16"/>
  <c r="Q37" i="16"/>
  <c r="Q41" i="16"/>
  <c r="Q42" i="16"/>
  <c r="Q40" i="16"/>
  <c r="Q39" i="16"/>
  <c r="Q35" i="16"/>
  <c r="Q38" i="16"/>
  <c r="K15" i="16"/>
  <c r="G15" i="16" s="1"/>
  <c r="J15" i="16"/>
  <c r="O23" i="16"/>
  <c r="O22" i="16"/>
  <c r="O26" i="16"/>
  <c r="O25" i="16"/>
  <c r="O27" i="16"/>
  <c r="O24" i="16"/>
  <c r="O28" i="16"/>
  <c r="O21" i="16"/>
  <c r="O34" i="16"/>
  <c r="O33" i="16"/>
  <c r="O31" i="16"/>
  <c r="O32" i="16"/>
  <c r="P32" i="16" s="1"/>
  <c r="O30" i="16"/>
  <c r="O20" i="16"/>
  <c r="I200" i="16" l="1"/>
  <c r="I172" i="16"/>
  <c r="I170" i="16"/>
  <c r="Q175" i="16"/>
  <c r="I174" i="16"/>
  <c r="Q173" i="16"/>
  <c r="I171" i="16"/>
  <c r="I201" i="16"/>
  <c r="F171" i="16"/>
  <c r="F172" i="16"/>
  <c r="F170" i="16"/>
  <c r="F173" i="16"/>
  <c r="F201" i="16"/>
  <c r="F200" i="16"/>
  <c r="F175" i="16"/>
  <c r="F174" i="16"/>
  <c r="M20" i="16"/>
  <c r="M23" i="16"/>
  <c r="M22" i="16"/>
  <c r="M26" i="16"/>
  <c r="M25" i="16"/>
  <c r="M27" i="16"/>
  <c r="M24" i="16"/>
  <c r="M28" i="16"/>
  <c r="M21" i="16"/>
  <c r="M34" i="16"/>
  <c r="M33" i="16"/>
  <c r="M31" i="16"/>
  <c r="M32" i="16"/>
  <c r="M30" i="16"/>
  <c r="P20" i="16"/>
  <c r="P23" i="16"/>
  <c r="P22" i="16"/>
  <c r="P26" i="16"/>
  <c r="P25" i="16"/>
  <c r="P27" i="16"/>
  <c r="P24" i="16"/>
  <c r="P28" i="16"/>
  <c r="P21" i="16"/>
  <c r="P34" i="16"/>
  <c r="P33" i="16"/>
  <c r="P31" i="16"/>
  <c r="P30" i="16"/>
  <c r="L20" i="16"/>
  <c r="L23" i="16"/>
  <c r="L22" i="16"/>
  <c r="L26" i="16"/>
  <c r="L25" i="16"/>
  <c r="L27" i="16"/>
  <c r="L24" i="16"/>
  <c r="L28" i="16"/>
  <c r="L21" i="16"/>
  <c r="L34" i="16"/>
  <c r="L33" i="16"/>
  <c r="L31" i="16"/>
  <c r="L32" i="16"/>
  <c r="L30" i="16"/>
  <c r="K20" i="16"/>
  <c r="G20" i="16" s="1"/>
  <c r="K23" i="16"/>
  <c r="G23" i="16" s="1"/>
  <c r="K22" i="16"/>
  <c r="G22" i="16" s="1"/>
  <c r="K26" i="16"/>
  <c r="G26" i="16" s="1"/>
  <c r="K25" i="16"/>
  <c r="G25" i="16" s="1"/>
  <c r="K27" i="16"/>
  <c r="G27" i="16" s="1"/>
  <c r="K24" i="16"/>
  <c r="G24" i="16" s="1"/>
  <c r="K28" i="16"/>
  <c r="G28" i="16" s="1"/>
  <c r="K21" i="16"/>
  <c r="G21" i="16" s="1"/>
  <c r="K34" i="16"/>
  <c r="G34" i="16" s="1"/>
  <c r="K33" i="16"/>
  <c r="K31" i="16"/>
  <c r="G31" i="16" s="1"/>
  <c r="K30" i="16"/>
  <c r="G30" i="16" s="1"/>
  <c r="J20" i="16"/>
  <c r="J23" i="16"/>
  <c r="J22" i="16"/>
  <c r="J26" i="16"/>
  <c r="J25" i="16"/>
  <c r="J27" i="16"/>
  <c r="J24" i="16"/>
  <c r="J28" i="16"/>
  <c r="J21" i="16"/>
  <c r="J34" i="16"/>
  <c r="J33" i="16"/>
  <c r="J31" i="16"/>
  <c r="J32" i="16"/>
  <c r="J30" i="16"/>
  <c r="O5" i="16"/>
  <c r="K7" i="16"/>
  <c r="G7" i="16" s="1"/>
  <c r="K8" i="16"/>
  <c r="G8" i="16" s="1"/>
  <c r="K10" i="16"/>
  <c r="K9" i="16"/>
  <c r="G9" i="16" s="1"/>
  <c r="K12" i="16"/>
  <c r="G12" i="16" s="1"/>
  <c r="K13" i="16"/>
  <c r="G13" i="16" s="1"/>
  <c r="K16" i="16"/>
  <c r="G16" i="16" s="1"/>
  <c r="K17" i="16"/>
  <c r="G17" i="16" s="1"/>
  <c r="K18" i="16"/>
  <c r="G18" i="16" s="1"/>
  <c r="K19" i="16"/>
  <c r="G19" i="16" s="1"/>
  <c r="L7" i="16"/>
  <c r="L8" i="16"/>
  <c r="L10" i="16"/>
  <c r="L9" i="16"/>
  <c r="L11" i="16"/>
  <c r="L12" i="16"/>
  <c r="L13" i="16"/>
  <c r="L15" i="16"/>
  <c r="L16" i="16"/>
  <c r="L17" i="16"/>
  <c r="L18" i="16"/>
  <c r="L19" i="16"/>
  <c r="M5" i="16"/>
  <c r="L5" i="16"/>
  <c r="J6" i="16"/>
  <c r="J7" i="16"/>
  <c r="J8" i="16"/>
  <c r="J10" i="16"/>
  <c r="J9" i="16"/>
  <c r="J11" i="16"/>
  <c r="J12" i="16"/>
  <c r="J13" i="16"/>
  <c r="J16" i="16"/>
  <c r="J17" i="16"/>
  <c r="J18" i="16"/>
  <c r="J19" i="16"/>
  <c r="J5" i="16"/>
  <c r="P5" i="16" l="1"/>
  <c r="Q5" i="16" s="1"/>
  <c r="G33" i="16"/>
  <c r="Q33" i="16"/>
  <c r="Q32" i="16"/>
  <c r="Q21" i="16"/>
  <c r="Q25" i="16"/>
  <c r="Q20" i="16"/>
  <c r="Q31" i="16"/>
  <c r="Q28" i="16"/>
  <c r="Q26" i="16"/>
  <c r="Q24" i="16"/>
  <c r="Q22" i="16"/>
  <c r="Q30" i="16"/>
  <c r="Q34" i="16"/>
  <c r="Q27" i="16"/>
  <c r="Q23" i="16"/>
  <c r="C9" i="50" l="1"/>
  <c r="D9" i="50"/>
  <c r="H10" i="50"/>
  <c r="H11" i="50"/>
  <c r="H12" i="50"/>
  <c r="H13" i="50"/>
  <c r="H14" i="50"/>
  <c r="H15" i="50"/>
  <c r="H16" i="50"/>
  <c r="H17" i="50"/>
  <c r="H18" i="50"/>
  <c r="H19" i="50"/>
  <c r="H20" i="50"/>
  <c r="E9" i="50" l="1"/>
  <c r="F9" i="50"/>
  <c r="G9" i="50" s="1"/>
  <c r="D10" i="50"/>
  <c r="D11" i="50"/>
  <c r="D12" i="50"/>
  <c r="D13" i="50"/>
  <c r="D14" i="50"/>
  <c r="D15" i="50"/>
  <c r="D16" i="50"/>
  <c r="D17" i="50"/>
  <c r="D18" i="50"/>
  <c r="D19" i="50"/>
  <c r="D20" i="50"/>
  <c r="D10" i="49"/>
  <c r="D11" i="49"/>
  <c r="D12" i="49"/>
  <c r="D13" i="49"/>
  <c r="D14" i="49"/>
  <c r="D15" i="49"/>
  <c r="D16" i="49"/>
  <c r="D17" i="49"/>
  <c r="D18" i="49"/>
  <c r="D19" i="49"/>
  <c r="D20" i="49"/>
  <c r="D9" i="49"/>
  <c r="C9" i="49"/>
  <c r="C20" i="50"/>
  <c r="C19" i="50"/>
  <c r="C18" i="50"/>
  <c r="C17" i="50"/>
  <c r="C16" i="50"/>
  <c r="C15" i="50"/>
  <c r="C14" i="50"/>
  <c r="C13" i="50"/>
  <c r="C12" i="50"/>
  <c r="C11" i="50"/>
  <c r="C10" i="50"/>
  <c r="P2" i="50"/>
  <c r="G20" i="49"/>
  <c r="C20" i="49"/>
  <c r="G19" i="49"/>
  <c r="C19" i="49"/>
  <c r="G18" i="49"/>
  <c r="C18" i="49"/>
  <c r="G17" i="49"/>
  <c r="C17" i="49"/>
  <c r="G16" i="49"/>
  <c r="C16" i="49"/>
  <c r="G15" i="49"/>
  <c r="C15" i="49"/>
  <c r="G14" i="49"/>
  <c r="C14" i="49"/>
  <c r="G13" i="49"/>
  <c r="C13" i="49"/>
  <c r="G12" i="49"/>
  <c r="C12" i="49"/>
  <c r="G11" i="49"/>
  <c r="C11" i="49"/>
  <c r="G10" i="49"/>
  <c r="C10" i="49"/>
  <c r="O2" i="49"/>
  <c r="G11" i="21"/>
  <c r="G12" i="21"/>
  <c r="G13" i="21"/>
  <c r="G14" i="21"/>
  <c r="G15" i="21"/>
  <c r="G16" i="21"/>
  <c r="G17" i="21"/>
  <c r="G18" i="21"/>
  <c r="C19" i="21"/>
  <c r="E19" i="21" s="1"/>
  <c r="C20" i="21"/>
  <c r="E20" i="21" s="1"/>
  <c r="C12" i="21"/>
  <c r="C13" i="21"/>
  <c r="E13" i="21" s="1"/>
  <c r="C14" i="21"/>
  <c r="C15" i="21"/>
  <c r="C16" i="21"/>
  <c r="E16" i="21" s="1"/>
  <c r="C17" i="21"/>
  <c r="E17" i="21" s="1"/>
  <c r="C18" i="21"/>
  <c r="E18" i="21" s="1"/>
  <c r="C10" i="21"/>
  <c r="C9" i="21"/>
  <c r="E19" i="50" l="1"/>
  <c r="E17" i="50"/>
  <c r="E15" i="50"/>
  <c r="E13" i="50"/>
  <c r="F11" i="50"/>
  <c r="G11" i="50" s="1"/>
  <c r="F13" i="50"/>
  <c r="G13" i="50" s="1"/>
  <c r="E14" i="50"/>
  <c r="E18" i="50"/>
  <c r="F10" i="50"/>
  <c r="G10" i="50" s="1"/>
  <c r="F12" i="50"/>
  <c r="G12" i="50" s="1"/>
  <c r="F14" i="50"/>
  <c r="G14" i="50" s="1"/>
  <c r="F14" i="21"/>
  <c r="E15" i="21"/>
  <c r="E11" i="50"/>
  <c r="E13" i="49"/>
  <c r="E17" i="49"/>
  <c r="E12" i="50"/>
  <c r="E16" i="50"/>
  <c r="E20" i="50"/>
  <c r="E10" i="50"/>
  <c r="F17" i="50"/>
  <c r="G17" i="50" s="1"/>
  <c r="F15" i="50"/>
  <c r="G15" i="50" s="1"/>
  <c r="F19" i="50"/>
  <c r="G19" i="50" s="1"/>
  <c r="F18" i="50"/>
  <c r="G18" i="50" s="1"/>
  <c r="F16" i="50"/>
  <c r="G16" i="50" s="1"/>
  <c r="F20" i="50"/>
  <c r="E14" i="49"/>
  <c r="M204" i="16"/>
  <c r="H141" i="16"/>
  <c r="H165" i="16"/>
  <c r="I76" i="16"/>
  <c r="I82" i="16"/>
  <c r="I79" i="16"/>
  <c r="I134" i="16"/>
  <c r="I93" i="16"/>
  <c r="I152" i="16"/>
  <c r="I137" i="16"/>
  <c r="I129" i="16"/>
  <c r="I122" i="16"/>
  <c r="I116" i="16"/>
  <c r="I39" i="16"/>
  <c r="I62" i="16"/>
  <c r="I57" i="16"/>
  <c r="I163" i="16"/>
  <c r="I119" i="16"/>
  <c r="H109" i="16"/>
  <c r="H148" i="16"/>
  <c r="H137" i="16"/>
  <c r="H151" i="16"/>
  <c r="F151" i="16" s="1"/>
  <c r="H37" i="16"/>
  <c r="H54" i="16"/>
  <c r="H120" i="16"/>
  <c r="H113" i="16"/>
  <c r="H129" i="16"/>
  <c r="H126" i="16"/>
  <c r="H136" i="16"/>
  <c r="I94" i="16"/>
  <c r="I75" i="16"/>
  <c r="I145" i="16"/>
  <c r="I167" i="16"/>
  <c r="I140" i="16"/>
  <c r="I73" i="16"/>
  <c r="I60" i="16"/>
  <c r="I83" i="16"/>
  <c r="H83" i="16"/>
  <c r="H98" i="16"/>
  <c r="I158" i="16"/>
  <c r="H158" i="16"/>
  <c r="F158" i="16" s="1"/>
  <c r="I69" i="16"/>
  <c r="I53" i="16"/>
  <c r="I202" i="16"/>
  <c r="I126" i="16"/>
  <c r="I125" i="16"/>
  <c r="I97" i="16"/>
  <c r="H63" i="16"/>
  <c r="H73" i="16"/>
  <c r="H69" i="16"/>
  <c r="H82" i="16"/>
  <c r="H79" i="16"/>
  <c r="H108" i="16"/>
  <c r="H101" i="16"/>
  <c r="H116" i="16"/>
  <c r="H133" i="16"/>
  <c r="I166" i="16"/>
  <c r="I121" i="16"/>
  <c r="I130" i="16"/>
  <c r="I117" i="16"/>
  <c r="I159" i="16"/>
  <c r="I147" i="16"/>
  <c r="I108" i="16"/>
  <c r="I81" i="16"/>
  <c r="I51" i="16"/>
  <c r="I38" i="16"/>
  <c r="H75" i="16"/>
  <c r="H78" i="16"/>
  <c r="H112" i="16"/>
  <c r="H117" i="16"/>
  <c r="H134" i="16"/>
  <c r="H130" i="16"/>
  <c r="H144" i="16"/>
  <c r="H155" i="16"/>
  <c r="H169" i="16"/>
  <c r="I37" i="16"/>
  <c r="I88" i="16"/>
  <c r="I132" i="16"/>
  <c r="I71" i="16"/>
  <c r="H41" i="16"/>
  <c r="H58" i="16"/>
  <c r="H122" i="16"/>
  <c r="I42" i="16"/>
  <c r="I64" i="16"/>
  <c r="I161" i="16"/>
  <c r="I157" i="16"/>
  <c r="I146" i="16"/>
  <c r="I142" i="16"/>
  <c r="I139" i="16"/>
  <c r="I135" i="16"/>
  <c r="I131" i="16"/>
  <c r="I124" i="16"/>
  <c r="I118" i="16"/>
  <c r="I115" i="16"/>
  <c r="I111" i="16"/>
  <c r="I104" i="16"/>
  <c r="I99" i="16"/>
  <c r="I96" i="16"/>
  <c r="I100" i="16"/>
  <c r="I98" i="16"/>
  <c r="H48" i="16"/>
  <c r="H147" i="16"/>
  <c r="H143" i="16"/>
  <c r="H140" i="16"/>
  <c r="H161" i="16"/>
  <c r="H157" i="16"/>
  <c r="H154" i="16"/>
  <c r="H150" i="16"/>
  <c r="H168" i="16"/>
  <c r="H105" i="16"/>
  <c r="H100" i="16"/>
  <c r="H97" i="16"/>
  <c r="H121" i="16"/>
  <c r="H119" i="16"/>
  <c r="H132" i="16"/>
  <c r="H125" i="16"/>
  <c r="H146" i="16"/>
  <c r="H142" i="16"/>
  <c r="H139" i="16"/>
  <c r="H160" i="16"/>
  <c r="H167" i="16"/>
  <c r="H163" i="16"/>
  <c r="H76" i="16"/>
  <c r="H71" i="16"/>
  <c r="H111" i="16"/>
  <c r="H104" i="16"/>
  <c r="H99" i="16"/>
  <c r="H96" i="16"/>
  <c r="H118" i="16"/>
  <c r="H115" i="16"/>
  <c r="H135" i="16"/>
  <c r="H131" i="16"/>
  <c r="H124" i="16"/>
  <c r="H145" i="16"/>
  <c r="H152" i="16"/>
  <c r="H166" i="16"/>
  <c r="H162" i="16"/>
  <c r="H64" i="16"/>
  <c r="H60" i="16"/>
  <c r="H51" i="16"/>
  <c r="I165" i="16"/>
  <c r="H159" i="16"/>
  <c r="H94" i="16"/>
  <c r="H93" i="16"/>
  <c r="H88" i="16"/>
  <c r="H81" i="16"/>
  <c r="H62" i="16"/>
  <c r="H57" i="16"/>
  <c r="H53" i="16"/>
  <c r="E9" i="49"/>
  <c r="E18" i="49"/>
  <c r="E10" i="49"/>
  <c r="E20" i="49"/>
  <c r="E12" i="49"/>
  <c r="E10" i="21"/>
  <c r="E12" i="21"/>
  <c r="E19" i="49"/>
  <c r="E15" i="49"/>
  <c r="E11" i="49"/>
  <c r="E16" i="49"/>
  <c r="H39" i="16"/>
  <c r="H35" i="16"/>
  <c r="F35" i="16" s="1"/>
  <c r="H42" i="16"/>
  <c r="H38" i="16"/>
  <c r="F20" i="21"/>
  <c r="F16" i="21"/>
  <c r="F12" i="21"/>
  <c r="F17" i="49"/>
  <c r="F19" i="21"/>
  <c r="F15" i="21"/>
  <c r="F11" i="21"/>
  <c r="F9" i="49"/>
  <c r="F10" i="49"/>
  <c r="F10" i="21"/>
  <c r="F17" i="21"/>
  <c r="F13" i="21"/>
  <c r="E9" i="21"/>
  <c r="F9" i="21"/>
  <c r="F18" i="21"/>
  <c r="F14" i="49"/>
  <c r="F18" i="49"/>
  <c r="F11" i="49"/>
  <c r="F15" i="49"/>
  <c r="F19" i="49"/>
  <c r="F12" i="49"/>
  <c r="F16" i="49"/>
  <c r="F20" i="49"/>
  <c r="G6" i="49" s="1"/>
  <c r="V3" i="49" s="1"/>
  <c r="V2" i="49" s="1"/>
  <c r="F13" i="49"/>
  <c r="E14" i="21"/>
  <c r="I105" i="16"/>
  <c r="I143" i="16"/>
  <c r="I48" i="16"/>
  <c r="I112" i="16"/>
  <c r="I136" i="16"/>
  <c r="I160" i="16"/>
  <c r="I154" i="16"/>
  <c r="I150" i="16"/>
  <c r="O9" i="16"/>
  <c r="P9" i="16" s="1"/>
  <c r="O16" i="16"/>
  <c r="P16" i="16" s="1"/>
  <c r="O17" i="16"/>
  <c r="P17" i="16" s="1"/>
  <c r="O15" i="16"/>
  <c r="O13" i="16"/>
  <c r="P13" i="16" s="1"/>
  <c r="O12" i="16"/>
  <c r="P12" i="16" s="1"/>
  <c r="O10" i="16"/>
  <c r="O18" i="16"/>
  <c r="P18" i="16" s="1"/>
  <c r="O19" i="16"/>
  <c r="P19" i="16" s="1"/>
  <c r="O11" i="16"/>
  <c r="P11" i="16" s="1"/>
  <c r="O7" i="16"/>
  <c r="P7" i="16" s="1"/>
  <c r="Q7" i="16" s="1"/>
  <c r="O8" i="16"/>
  <c r="P8" i="16" s="1"/>
  <c r="Q653" i="46"/>
  <c r="Q654" i="46"/>
  <c r="Q655" i="46"/>
  <c r="Q656" i="46"/>
  <c r="Q657" i="46"/>
  <c r="Q658" i="46"/>
  <c r="Q659" i="46"/>
  <c r="Q660" i="46"/>
  <c r="Q661" i="46"/>
  <c r="Q662" i="46"/>
  <c r="Q663" i="46"/>
  <c r="Q664" i="46"/>
  <c r="Q665" i="46"/>
  <c r="Q666" i="46"/>
  <c r="Q667" i="46"/>
  <c r="Q668" i="46"/>
  <c r="Q669" i="46"/>
  <c r="Q670" i="46"/>
  <c r="Q671" i="46"/>
  <c r="Q672" i="46"/>
  <c r="Q673" i="46"/>
  <c r="Q674" i="46"/>
  <c r="Q675" i="46"/>
  <c r="Q676" i="46"/>
  <c r="Q677" i="46"/>
  <c r="Q678" i="46"/>
  <c r="Q679" i="46"/>
  <c r="Q680" i="46"/>
  <c r="Q681" i="46"/>
  <c r="Q682" i="46"/>
  <c r="Q683" i="46"/>
  <c r="Q684" i="46"/>
  <c r="Q685" i="46"/>
  <c r="Q686" i="46"/>
  <c r="Q687" i="46"/>
  <c r="Q688" i="46"/>
  <c r="Q689" i="46"/>
  <c r="Q690" i="46"/>
  <c r="Q691" i="46"/>
  <c r="Q692" i="46"/>
  <c r="Q693" i="46"/>
  <c r="Q694" i="46"/>
  <c r="Q695" i="46"/>
  <c r="Q696" i="46"/>
  <c r="Q697" i="46"/>
  <c r="Q698" i="46"/>
  <c r="Q699" i="46"/>
  <c r="Q700" i="46"/>
  <c r="Q701" i="46"/>
  <c r="Q702" i="46"/>
  <c r="Q603" i="46"/>
  <c r="Q604" i="46"/>
  <c r="Q605" i="46"/>
  <c r="Q606" i="46"/>
  <c r="Q607" i="46"/>
  <c r="Q608" i="46"/>
  <c r="Q609" i="46"/>
  <c r="Q610" i="46"/>
  <c r="Q611" i="46"/>
  <c r="Q612" i="46"/>
  <c r="Q613" i="46"/>
  <c r="Q614" i="46"/>
  <c r="Q615" i="46"/>
  <c r="Q616" i="46"/>
  <c r="Q617" i="46"/>
  <c r="Q618" i="46"/>
  <c r="Q619" i="46"/>
  <c r="Q620" i="46"/>
  <c r="Q621" i="46"/>
  <c r="Q622" i="46"/>
  <c r="Q623" i="46"/>
  <c r="Q624" i="46"/>
  <c r="Q625" i="46"/>
  <c r="Q626" i="46"/>
  <c r="Q627" i="46"/>
  <c r="Q628" i="46"/>
  <c r="Q629" i="46"/>
  <c r="Q630" i="46"/>
  <c r="Q631" i="46"/>
  <c r="Q632" i="46"/>
  <c r="Q633" i="46"/>
  <c r="Q634" i="46"/>
  <c r="Q635" i="46"/>
  <c r="Q636" i="46"/>
  <c r="Q637" i="46"/>
  <c r="Q638" i="46"/>
  <c r="Q639" i="46"/>
  <c r="Q640" i="46"/>
  <c r="Q641" i="46"/>
  <c r="Q642" i="46"/>
  <c r="Q643" i="46"/>
  <c r="Q644" i="46"/>
  <c r="Q645" i="46"/>
  <c r="Q646" i="46"/>
  <c r="Q647" i="46"/>
  <c r="Q648" i="46"/>
  <c r="Q649" i="46"/>
  <c r="Q650" i="46"/>
  <c r="Q651" i="46"/>
  <c r="Q652" i="46"/>
  <c r="Q553" i="46"/>
  <c r="Q554" i="46"/>
  <c r="Q555" i="46"/>
  <c r="Q556" i="46"/>
  <c r="Q557" i="46"/>
  <c r="Q558" i="46"/>
  <c r="Q559" i="46"/>
  <c r="Q560" i="46"/>
  <c r="Q561" i="46"/>
  <c r="Q562" i="46"/>
  <c r="Q563" i="46"/>
  <c r="Q564" i="46"/>
  <c r="Q565" i="46"/>
  <c r="Q566" i="46"/>
  <c r="Q567" i="46"/>
  <c r="Q568" i="46"/>
  <c r="Q569" i="46"/>
  <c r="Q570" i="46"/>
  <c r="Q571" i="46"/>
  <c r="Q572" i="46"/>
  <c r="Q573" i="46"/>
  <c r="Q574" i="46"/>
  <c r="Q575" i="46"/>
  <c r="Q576" i="46"/>
  <c r="Q577" i="46"/>
  <c r="Q578" i="46"/>
  <c r="Q579" i="46"/>
  <c r="Q580" i="46"/>
  <c r="Q581" i="46"/>
  <c r="Q582" i="46"/>
  <c r="Q583" i="46"/>
  <c r="Q584" i="46"/>
  <c r="Q585" i="46"/>
  <c r="Q586" i="46"/>
  <c r="Q587" i="46"/>
  <c r="Q588" i="46"/>
  <c r="Q589" i="46"/>
  <c r="Q590" i="46"/>
  <c r="Q591" i="46"/>
  <c r="Q592" i="46"/>
  <c r="Q593" i="46"/>
  <c r="Q594" i="46"/>
  <c r="Q595" i="46"/>
  <c r="Q596" i="46"/>
  <c r="Q597" i="46"/>
  <c r="Q598" i="46"/>
  <c r="Q599" i="46"/>
  <c r="Q600" i="46"/>
  <c r="Q601" i="46"/>
  <c r="Q602" i="46"/>
  <c r="Q503" i="46"/>
  <c r="Q504" i="46"/>
  <c r="Q505" i="46"/>
  <c r="Q506" i="46"/>
  <c r="Q507" i="46"/>
  <c r="Q508" i="46"/>
  <c r="Q509" i="46"/>
  <c r="Q510" i="46"/>
  <c r="Q511" i="46"/>
  <c r="Q512" i="46"/>
  <c r="Q513" i="46"/>
  <c r="Q514" i="46"/>
  <c r="Q515" i="46"/>
  <c r="Q516" i="46"/>
  <c r="Q517" i="46"/>
  <c r="Q518" i="46"/>
  <c r="Q519" i="46"/>
  <c r="Q520" i="46"/>
  <c r="Q521" i="46"/>
  <c r="Q522" i="46"/>
  <c r="Q523" i="46"/>
  <c r="Q524" i="46"/>
  <c r="Q525" i="46"/>
  <c r="Q526" i="46"/>
  <c r="Q527" i="46"/>
  <c r="Q528" i="46"/>
  <c r="Q529" i="46"/>
  <c r="Q530" i="46"/>
  <c r="Q531" i="46"/>
  <c r="Q532" i="46"/>
  <c r="Q533" i="46"/>
  <c r="Q534" i="46"/>
  <c r="Q535" i="46"/>
  <c r="Q536" i="46"/>
  <c r="Q537" i="46"/>
  <c r="Q538" i="46"/>
  <c r="Q539" i="46"/>
  <c r="Q540" i="46"/>
  <c r="Q541" i="46"/>
  <c r="Q542" i="46"/>
  <c r="Q543" i="46"/>
  <c r="Q544" i="46"/>
  <c r="Q545" i="46"/>
  <c r="Q546" i="46"/>
  <c r="Q547" i="46"/>
  <c r="Q548" i="46"/>
  <c r="Q549" i="46"/>
  <c r="Q550" i="46"/>
  <c r="Q551" i="46"/>
  <c r="Q552" i="46"/>
  <c r="Q453" i="46"/>
  <c r="Q454" i="46"/>
  <c r="Q455" i="46"/>
  <c r="Q456" i="46"/>
  <c r="Q457" i="46"/>
  <c r="Q458" i="46"/>
  <c r="Q459" i="46"/>
  <c r="Q460" i="46"/>
  <c r="Q461" i="46"/>
  <c r="Q462" i="46"/>
  <c r="Q463" i="46"/>
  <c r="Q464" i="46"/>
  <c r="Q465" i="46"/>
  <c r="Q466" i="46"/>
  <c r="Q467" i="46"/>
  <c r="Q468" i="46"/>
  <c r="Q469" i="46"/>
  <c r="Q470" i="46"/>
  <c r="Q471" i="46"/>
  <c r="Q472" i="46"/>
  <c r="Q473" i="46"/>
  <c r="Q474" i="46"/>
  <c r="Q475" i="46"/>
  <c r="Q476" i="46"/>
  <c r="Q477" i="46"/>
  <c r="Q478" i="46"/>
  <c r="Q479" i="46"/>
  <c r="Q480" i="46"/>
  <c r="Q481" i="46"/>
  <c r="Q482" i="46"/>
  <c r="Q483" i="46"/>
  <c r="Q484" i="46"/>
  <c r="Q485" i="46"/>
  <c r="Q486" i="46"/>
  <c r="Q487" i="46"/>
  <c r="Q488" i="46"/>
  <c r="Q489" i="46"/>
  <c r="Q490" i="46"/>
  <c r="Q491" i="46"/>
  <c r="Q492" i="46"/>
  <c r="Q493" i="46"/>
  <c r="Q494" i="46"/>
  <c r="Q495" i="46"/>
  <c r="Q496" i="46"/>
  <c r="Q497" i="46"/>
  <c r="Q498" i="46"/>
  <c r="Q499" i="46"/>
  <c r="Q500" i="46"/>
  <c r="Q501" i="46"/>
  <c r="Q502" i="46"/>
  <c r="Q403" i="46"/>
  <c r="Q404" i="46"/>
  <c r="Q405" i="46"/>
  <c r="Q406" i="46"/>
  <c r="Q407" i="46"/>
  <c r="Q408" i="46"/>
  <c r="Q409" i="46"/>
  <c r="Q410" i="46"/>
  <c r="Q411" i="46"/>
  <c r="Q412" i="46"/>
  <c r="Q413" i="46"/>
  <c r="Q414" i="46"/>
  <c r="Q415" i="46"/>
  <c r="Q416" i="46"/>
  <c r="Q417" i="46"/>
  <c r="Q418" i="46"/>
  <c r="Q419" i="46"/>
  <c r="Q420" i="46"/>
  <c r="Q421" i="46"/>
  <c r="Q422" i="46"/>
  <c r="Q423" i="46"/>
  <c r="Q424" i="46"/>
  <c r="Q425" i="46"/>
  <c r="Q426" i="46"/>
  <c r="Q427" i="46"/>
  <c r="Q428" i="46"/>
  <c r="Q429" i="46"/>
  <c r="Q430" i="46"/>
  <c r="Q431" i="46"/>
  <c r="Q432" i="46"/>
  <c r="Q433" i="46"/>
  <c r="Q434" i="46"/>
  <c r="Q435" i="46"/>
  <c r="Q436" i="46"/>
  <c r="Q437" i="46"/>
  <c r="Q438" i="46"/>
  <c r="Q439" i="46"/>
  <c r="Q440" i="46"/>
  <c r="Q441" i="46"/>
  <c r="Q442" i="46"/>
  <c r="Q443" i="46"/>
  <c r="Q444" i="46"/>
  <c r="Q445" i="46"/>
  <c r="Q446" i="46"/>
  <c r="Q447" i="46"/>
  <c r="Q448" i="46"/>
  <c r="Q449" i="46"/>
  <c r="Q450" i="46"/>
  <c r="Q451" i="46"/>
  <c r="Q4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Q401" i="46"/>
  <c r="Q4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5" i="46"/>
  <c r="Q246" i="46"/>
  <c r="Q247" i="46"/>
  <c r="Q248" i="46"/>
  <c r="Q249" i="46"/>
  <c r="Q250" i="46"/>
  <c r="Q251" i="46"/>
  <c r="Q2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O6" i="1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3" i="46"/>
  <c r="O204" i="16" l="1"/>
  <c r="H6" i="16"/>
  <c r="G20" i="50"/>
  <c r="P15" i="16"/>
  <c r="H15" i="16"/>
  <c r="P6" i="16"/>
  <c r="I6" i="16" s="1"/>
  <c r="H40" i="16"/>
  <c r="F40" i="16" s="1"/>
  <c r="H90" i="16"/>
  <c r="F90" i="16" s="1"/>
  <c r="H49" i="16"/>
  <c r="H56" i="16"/>
  <c r="H72" i="16"/>
  <c r="H80" i="16"/>
  <c r="H164" i="16"/>
  <c r="H50" i="16"/>
  <c r="H67" i="16"/>
  <c r="H95" i="16"/>
  <c r="H114" i="16"/>
  <c r="H45" i="16"/>
  <c r="H66" i="16"/>
  <c r="H123" i="16"/>
  <c r="H52" i="16"/>
  <c r="H61" i="16"/>
  <c r="H68" i="16"/>
  <c r="H77" i="16"/>
  <c r="H84" i="16"/>
  <c r="H89" i="16"/>
  <c r="H149" i="16"/>
  <c r="H65" i="16"/>
  <c r="H127" i="16"/>
  <c r="F141" i="16"/>
  <c r="H36" i="16"/>
  <c r="I133" i="16"/>
  <c r="F108" i="16"/>
  <c r="F98" i="16"/>
  <c r="H128" i="16"/>
  <c r="F128" i="16" s="1"/>
  <c r="F165" i="16"/>
  <c r="I128" i="16"/>
  <c r="H46" i="16"/>
  <c r="F46" i="16" s="1"/>
  <c r="H156" i="16"/>
  <c r="H138" i="16"/>
  <c r="I46" i="16"/>
  <c r="F169" i="16"/>
  <c r="F130" i="16"/>
  <c r="I151" i="16"/>
  <c r="F163" i="16"/>
  <c r="F62" i="16"/>
  <c r="F79" i="16"/>
  <c r="I155" i="16"/>
  <c r="F99" i="16"/>
  <c r="F111" i="16"/>
  <c r="F118" i="16"/>
  <c r="F124" i="16"/>
  <c r="F131" i="16"/>
  <c r="F139" i="16"/>
  <c r="F136" i="16"/>
  <c r="F109" i="16"/>
  <c r="F162" i="16"/>
  <c r="F81" i="16"/>
  <c r="F147" i="16"/>
  <c r="F129" i="16"/>
  <c r="F144" i="16"/>
  <c r="H153" i="16"/>
  <c r="F161" i="16"/>
  <c r="F97" i="16"/>
  <c r="F126" i="16"/>
  <c r="I58" i="16"/>
  <c r="F120" i="16"/>
  <c r="F54" i="16"/>
  <c r="F155" i="16"/>
  <c r="F154" i="16"/>
  <c r="I50" i="16"/>
  <c r="F133" i="16"/>
  <c r="F119" i="16"/>
  <c r="F41" i="16"/>
  <c r="F146" i="16"/>
  <c r="I103" i="16"/>
  <c r="I55" i="16"/>
  <c r="I149" i="16"/>
  <c r="I56" i="16"/>
  <c r="I72" i="16"/>
  <c r="I80" i="16"/>
  <c r="I91" i="16"/>
  <c r="I113" i="16"/>
  <c r="F76" i="16"/>
  <c r="I67" i="16"/>
  <c r="I162" i="16"/>
  <c r="I169" i="16"/>
  <c r="F64" i="16"/>
  <c r="I45" i="16"/>
  <c r="I40" i="16"/>
  <c r="F71" i="16"/>
  <c r="F132" i="16"/>
  <c r="F37" i="16"/>
  <c r="F51" i="16"/>
  <c r="I70" i="16"/>
  <c r="I156" i="16"/>
  <c r="F121" i="16"/>
  <c r="I138" i="16"/>
  <c r="F53" i="16"/>
  <c r="F48" i="16"/>
  <c r="F60" i="16"/>
  <c r="I153" i="16"/>
  <c r="F160" i="16"/>
  <c r="F75" i="16"/>
  <c r="H103" i="16"/>
  <c r="H70" i="16"/>
  <c r="I41" i="16"/>
  <c r="I120" i="16"/>
  <c r="I144" i="16"/>
  <c r="I109" i="16"/>
  <c r="I54" i="16"/>
  <c r="I47" i="16"/>
  <c r="H55" i="16"/>
  <c r="H91" i="16"/>
  <c r="F100" i="16"/>
  <c r="F96" i="16"/>
  <c r="F104" i="16"/>
  <c r="F115" i="16"/>
  <c r="F135" i="16"/>
  <c r="F142" i="16"/>
  <c r="F150" i="16"/>
  <c r="F157" i="16"/>
  <c r="F42" i="16"/>
  <c r="I35" i="16"/>
  <c r="I141" i="16"/>
  <c r="F88" i="16"/>
  <c r="F159" i="16"/>
  <c r="F117" i="16"/>
  <c r="I95" i="16"/>
  <c r="I52" i="16"/>
  <c r="I61" i="16"/>
  <c r="I68" i="16"/>
  <c r="I77" i="16"/>
  <c r="I84" i="16"/>
  <c r="I43" i="16"/>
  <c r="I114" i="16"/>
  <c r="I164" i="16"/>
  <c r="I90" i="16"/>
  <c r="I127" i="16"/>
  <c r="F167" i="16"/>
  <c r="F112" i="16"/>
  <c r="F143" i="16"/>
  <c r="F148" i="16"/>
  <c r="F57" i="16"/>
  <c r="F78" i="16"/>
  <c r="F39" i="16"/>
  <c r="F116" i="16"/>
  <c r="F122" i="16"/>
  <c r="F137" i="16"/>
  <c r="F152" i="16"/>
  <c r="F93" i="16"/>
  <c r="F134" i="16"/>
  <c r="F168" i="16"/>
  <c r="F63" i="16"/>
  <c r="F82" i="16"/>
  <c r="F83" i="16"/>
  <c r="H47" i="16"/>
  <c r="I49" i="16"/>
  <c r="I36" i="16"/>
  <c r="I89" i="16"/>
  <c r="F38" i="16"/>
  <c r="I66" i="16"/>
  <c r="I123" i="16"/>
  <c r="F105" i="16"/>
  <c r="F166" i="16"/>
  <c r="I65" i="16"/>
  <c r="F125" i="16"/>
  <c r="I203" i="16"/>
  <c r="F113" i="16"/>
  <c r="F202" i="16"/>
  <c r="F69" i="16"/>
  <c r="F73" i="16"/>
  <c r="F140" i="16"/>
  <c r="F145" i="16"/>
  <c r="F58" i="16"/>
  <c r="F94" i="16"/>
  <c r="I148" i="16"/>
  <c r="I78" i="16"/>
  <c r="I168" i="16"/>
  <c r="I63" i="16"/>
  <c r="C204" i="16"/>
  <c r="H6" i="50" l="1"/>
  <c r="Y3" i="50" s="1"/>
  <c r="Y2" i="50" s="1"/>
  <c r="F164" i="16"/>
  <c r="F84" i="16"/>
  <c r="F68" i="16"/>
  <c r="F52" i="16"/>
  <c r="F45" i="16"/>
  <c r="F65" i="16"/>
  <c r="F89" i="16"/>
  <c r="F43" i="16"/>
  <c r="F77" i="16"/>
  <c r="F61" i="16"/>
  <c r="F123" i="16"/>
  <c r="F66" i="16"/>
  <c r="F49" i="16"/>
  <c r="F80" i="16"/>
  <c r="F56" i="16"/>
  <c r="F149" i="16"/>
  <c r="F95" i="16"/>
  <c r="F50" i="16"/>
  <c r="F114" i="16"/>
  <c r="F67" i="16"/>
  <c r="F72" i="16"/>
  <c r="F127" i="16"/>
  <c r="F36" i="16"/>
  <c r="F156" i="16"/>
  <c r="F153" i="16"/>
  <c r="F138" i="16"/>
  <c r="F47" i="16"/>
  <c r="F70" i="16"/>
  <c r="F103" i="16"/>
  <c r="F91" i="16"/>
  <c r="F55" i="16"/>
  <c r="M19" i="16"/>
  <c r="M18" i="16"/>
  <c r="M17" i="16"/>
  <c r="M16" i="16"/>
  <c r="M13" i="16"/>
  <c r="M12" i="16"/>
  <c r="M11" i="16"/>
  <c r="M10" i="16"/>
  <c r="M9" i="16"/>
  <c r="M8" i="16"/>
  <c r="M7" i="16"/>
  <c r="I34" i="16" l="1"/>
  <c r="I30" i="16"/>
  <c r="I31" i="16"/>
  <c r="I26" i="16"/>
  <c r="I22" i="16"/>
  <c r="I18" i="16"/>
  <c r="I13" i="16"/>
  <c r="I17" i="16"/>
  <c r="I8" i="16"/>
  <c r="I33" i="16"/>
  <c r="I28" i="16"/>
  <c r="I24" i="16"/>
  <c r="I20" i="16"/>
  <c r="I16" i="16"/>
  <c r="I11" i="16"/>
  <c r="I7" i="16"/>
  <c r="I32" i="16"/>
  <c r="I27" i="16"/>
  <c r="I23" i="16"/>
  <c r="I19" i="16"/>
  <c r="I15" i="16"/>
  <c r="I9" i="16"/>
  <c r="H27" i="16"/>
  <c r="H31" i="16"/>
  <c r="H26" i="16"/>
  <c r="H22" i="16"/>
  <c r="H18" i="16"/>
  <c r="H13" i="16"/>
  <c r="H32" i="16"/>
  <c r="H19" i="16"/>
  <c r="H34" i="16"/>
  <c r="H30" i="16"/>
  <c r="H17" i="16"/>
  <c r="H8" i="16"/>
  <c r="F8" i="16" s="1"/>
  <c r="H23" i="16"/>
  <c r="H10" i="16"/>
  <c r="H33" i="16"/>
  <c r="H28" i="16"/>
  <c r="H24" i="16"/>
  <c r="H20" i="16"/>
  <c r="H16" i="16"/>
  <c r="H11" i="16"/>
  <c r="H7" i="16"/>
  <c r="F7" i="16" s="1"/>
  <c r="I12" i="16"/>
  <c r="Q13" i="16"/>
  <c r="Q18" i="16"/>
  <c r="Q11" i="16"/>
  <c r="Q16" i="16"/>
  <c r="Q6" i="16"/>
  <c r="Q15" i="16"/>
  <c r="Q19" i="16"/>
  <c r="Q8" i="16"/>
  <c r="Q17" i="16"/>
  <c r="I21" i="16" l="1"/>
  <c r="I25" i="16"/>
  <c r="F34" i="16"/>
  <c r="I5" i="16"/>
  <c r="F6" i="16"/>
  <c r="F15" i="16"/>
  <c r="F23" i="16"/>
  <c r="F32" i="16"/>
  <c r="F11" i="16"/>
  <c r="F20" i="16"/>
  <c r="F28" i="16"/>
  <c r="F18" i="16"/>
  <c r="F26" i="16"/>
  <c r="F17" i="16"/>
  <c r="F30" i="16"/>
  <c r="F19" i="16"/>
  <c r="F27" i="16"/>
  <c r="F16" i="16"/>
  <c r="F24" i="16"/>
  <c r="F33" i="16"/>
  <c r="F13" i="16"/>
  <c r="F22" i="16"/>
  <c r="F31" i="16"/>
  <c r="Q9" i="16"/>
  <c r="H9" i="16"/>
  <c r="H204" i="16"/>
  <c r="H5" i="16"/>
  <c r="F5" i="16" s="1"/>
  <c r="H12" i="16"/>
  <c r="H21" i="16"/>
  <c r="H25" i="16"/>
  <c r="Q12" i="16"/>
  <c r="F21" i="16" l="1"/>
  <c r="F25" i="16"/>
  <c r="F9" i="16"/>
  <c r="F12" i="16"/>
  <c r="G20" i="21" l="1"/>
  <c r="G19" i="21"/>
  <c r="G10" i="21"/>
  <c r="O2" i="21"/>
  <c r="G6" i="21" l="1"/>
  <c r="X3" i="21" l="1"/>
  <c r="X2" i="21" s="1"/>
  <c r="N101" i="16" l="1"/>
  <c r="P101" i="16" l="1"/>
  <c r="F101" i="16"/>
  <c r="Q101" i="16" l="1"/>
  <c r="I101" i="16"/>
  <c r="D54" i="53" l="1"/>
  <c r="E54" i="53" s="1"/>
  <c r="E55" i="53" l="1"/>
  <c r="AC10" i="16"/>
  <c r="AC204" i="16" s="1"/>
  <c r="G10" i="16" l="1"/>
  <c r="F10" i="16" s="1"/>
  <c r="P10" i="16"/>
  <c r="N10" i="16"/>
  <c r="G204" i="16" l="1"/>
  <c r="F204" i="16" s="1"/>
  <c r="P204" i="16"/>
  <c r="I10" i="16"/>
  <c r="Q10" i="16"/>
  <c r="I204" i="16" l="1"/>
  <c r="Q20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Aykut Aydogan</author>
    <author>Busra Unlu</author>
  </authors>
  <commentList>
    <comment ref="X17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162"/>
          </rPr>
          <t>Aykut Aydogan:</t>
        </r>
        <r>
          <rPr>
            <sz val="9"/>
            <color indexed="81"/>
            <rFont val="Tahoma"/>
            <family val="2"/>
            <charset val="162"/>
          </rPr>
          <t xml:space="preserve">
Sayım sonrası istasyon doldurulması</t>
        </r>
      </text>
    </comment>
    <comment ref="X24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162"/>
          </rPr>
          <t>Aykut Aydogan:</t>
        </r>
        <r>
          <rPr>
            <sz val="9"/>
            <color indexed="81"/>
            <rFont val="Tahoma"/>
            <family val="2"/>
            <charset val="162"/>
          </rPr>
          <t xml:space="preserve">
145' ek işçilik
1515' malzeme eksikliği teyit verilememiş</t>
        </r>
      </text>
    </comment>
    <comment ref="T54" authorId="1" shapeId="0" xr:uid="{00000000-0006-0000-0300-000003000000}">
      <text>
        <r>
          <rPr>
            <b/>
            <sz val="9"/>
            <color indexed="81"/>
            <rFont val="Tahoma"/>
            <family val="2"/>
            <charset val="162"/>
          </rPr>
          <t>Busra Unlu:</t>
        </r>
        <r>
          <rPr>
            <sz val="9"/>
            <color indexed="81"/>
            <rFont val="Tahoma"/>
            <family val="2"/>
            <charset val="162"/>
          </rPr>
          <t xml:space="preserve">
FABRİKA TAŞIMA</t>
        </r>
      </text>
    </comment>
  </commentList>
</comments>
</file>

<file path=xl/sharedStrings.xml><?xml version="1.0" encoding="utf-8"?>
<sst xmlns="http://schemas.openxmlformats.org/spreadsheetml/2006/main" count="7517" uniqueCount="1103">
  <si>
    <t>FABRİKA</t>
  </si>
  <si>
    <t>BÖLÜM</t>
  </si>
  <si>
    <t>BEKLEME</t>
  </si>
  <si>
    <t>SEBEP OLAN BÖLÜM</t>
  </si>
  <si>
    <t>Fabrika I</t>
  </si>
  <si>
    <t>Alt Şase</t>
  </si>
  <si>
    <t>Hatalı Malzeme Sebebiyle Bekleme</t>
  </si>
  <si>
    <t>Kesim - Büküm</t>
  </si>
  <si>
    <t>Fabrika II</t>
  </si>
  <si>
    <t>Arm</t>
  </si>
  <si>
    <t>Malzeme Gelmediği İçin Bekleme</t>
  </si>
  <si>
    <t>Talaşlı İmalat</t>
  </si>
  <si>
    <t>Komponent</t>
  </si>
  <si>
    <t>Bom</t>
  </si>
  <si>
    <t>Ayar Kaybı</t>
  </si>
  <si>
    <t>Kaynaklı İmalat</t>
  </si>
  <si>
    <t>Fabrika III ESB</t>
  </si>
  <si>
    <t>Büyük Talaşlı</t>
  </si>
  <si>
    <t>Tesis / Tezgah Arızası / Elektrik Kesintisi</t>
  </si>
  <si>
    <t>Tesisathane</t>
  </si>
  <si>
    <t>EOL</t>
  </si>
  <si>
    <t>Kalıp / Takım / Ekipman Arızası</t>
  </si>
  <si>
    <t>Silindirhane</t>
  </si>
  <si>
    <t>Hortumhane</t>
  </si>
  <si>
    <t>Tezgah / Tesis Temizlik Bakım</t>
  </si>
  <si>
    <t>Montaj</t>
  </si>
  <si>
    <t>Küçük Kaynaklı</t>
  </si>
  <si>
    <t>Muayene Sonucu Bekleme</t>
  </si>
  <si>
    <t>Boyahane</t>
  </si>
  <si>
    <t>Küçük Talaşlı</t>
  </si>
  <si>
    <t>Standart Dışı Takım/Kalıp ile Çalışma</t>
  </si>
  <si>
    <t>Isıl İşlem</t>
  </si>
  <si>
    <t>Loder &amp; Greyder</t>
  </si>
  <si>
    <t>Tezgah Rejime Sokma Zamanı</t>
  </si>
  <si>
    <t>Mangan Fosfat</t>
  </si>
  <si>
    <t>Merkez Boyahane</t>
  </si>
  <si>
    <t>Takım Hazırlama Zamanı</t>
  </si>
  <si>
    <t>Lojistik / Üretim Planlama</t>
  </si>
  <si>
    <t>Tecrübe / Ön Seri Çalışması</t>
  </si>
  <si>
    <t>Kalite</t>
  </si>
  <si>
    <t>Parça Boyahane</t>
  </si>
  <si>
    <t>Önceki İstasyonu Bekleme (Montaj)</t>
  </si>
  <si>
    <t>Kalıp - Aparat</t>
  </si>
  <si>
    <t>Robotlar</t>
  </si>
  <si>
    <t>Eksik Parça Tamamlama</t>
  </si>
  <si>
    <t>Mühendislik</t>
  </si>
  <si>
    <t>Üst Şase</t>
  </si>
  <si>
    <t>Vinç Bekleme</t>
  </si>
  <si>
    <t>Satış Pazarlama</t>
  </si>
  <si>
    <t>Forklift Bekleme</t>
  </si>
  <si>
    <t>Diğer (Belirtiniz)</t>
  </si>
  <si>
    <t>Kaizen Çalışmaları</t>
  </si>
  <si>
    <t>5S Çalışmaları</t>
  </si>
  <si>
    <t>Toplantı / Görüşme</t>
  </si>
  <si>
    <t>Eğitim</t>
  </si>
  <si>
    <t>Görevli</t>
  </si>
  <si>
    <t>İş Verilemedi</t>
  </si>
  <si>
    <t xml:space="preserve">Revir </t>
  </si>
  <si>
    <t>DİKKAT !
Formüllü hücre, değişiklik yapmayın lütfen… Hesaplamaya mevcut yılın Aralık ayında açılanlar dahil edilmeyecektir.</t>
  </si>
  <si>
    <t>G/M</t>
  </si>
  <si>
    <t>O/M</t>
  </si>
  <si>
    <t>(M-P)/M*100</t>
  </si>
  <si>
    <t>F/E</t>
  </si>
  <si>
    <t>Her ayın formülü ayrıdır</t>
  </si>
  <si>
    <t>P-M</t>
  </si>
  <si>
    <t>H</t>
  </si>
  <si>
    <t>L</t>
  </si>
  <si>
    <t>U</t>
  </si>
  <si>
    <t>T</t>
  </si>
  <si>
    <t>M</t>
  </si>
  <si>
    <t>N</t>
  </si>
  <si>
    <t>O</t>
  </si>
  <si>
    <t>P</t>
  </si>
  <si>
    <t>R</t>
  </si>
  <si>
    <t>A</t>
  </si>
  <si>
    <t>B</t>
  </si>
  <si>
    <t>C</t>
  </si>
  <si>
    <t>D</t>
  </si>
  <si>
    <t>E</t>
  </si>
  <si>
    <t>F</t>
  </si>
  <si>
    <t>G</t>
  </si>
  <si>
    <t>Ay</t>
  </si>
  <si>
    <t>Fabrika</t>
  </si>
  <si>
    <t>Birim</t>
  </si>
  <si>
    <t>Bölüm</t>
  </si>
  <si>
    <t>Kapasite</t>
  </si>
  <si>
    <t>Verimlilik
%</t>
  </si>
  <si>
    <t>Net İşçilik Kapasite Kaybı %</t>
  </si>
  <si>
    <t>Açklnmyn Süre %</t>
  </si>
  <si>
    <t xml:space="preserve">Brüt Kapasite Kaybı  % </t>
  </si>
  <si>
    <t>Net Kapasite Direkt</t>
  </si>
  <si>
    <t>Net Kapasite Endirekt</t>
  </si>
  <si>
    <t>Fazla Mesai %</t>
  </si>
  <si>
    <t>Duruş</t>
  </si>
  <si>
    <t>Toplam Girilen İşçilik</t>
  </si>
  <si>
    <t>Fark (PDKS - Toplam Üretilen Değer)</t>
  </si>
  <si>
    <t>Operatör
Direkt</t>
  </si>
  <si>
    <t>Operatör Endirekt</t>
  </si>
  <si>
    <t>Brüt Kapasite (Saat) Direkt</t>
  </si>
  <si>
    <t>Brüt Kapasite (Saat) Endirekt</t>
  </si>
  <si>
    <t>İzin / Rapor Direkt</t>
  </si>
  <si>
    <t>İzin / Rapor Endirekt</t>
  </si>
  <si>
    <t>Normal Mesai Direkt</t>
  </si>
  <si>
    <t>Normal Mesai Endirekt</t>
  </si>
  <si>
    <t>Fazla Mesai Direkt</t>
  </si>
  <si>
    <t>Fazla Mesai Endirekt</t>
  </si>
  <si>
    <t>Üretilen Değer (Sap Verisi)</t>
  </si>
  <si>
    <t>Ocak</t>
  </si>
  <si>
    <t>İmalat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</si>
  <si>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</si>
  <si>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</si>
  <si>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</si>
  <si>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</si>
  <si>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</si>
  <si>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</si>
  <si>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</si>
  <si>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</si>
  <si>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</si>
  <si>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</si>
  <si>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</si>
  <si>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Toplam</t>
  </si>
  <si>
    <t>Tüm</t>
  </si>
  <si>
    <t>SEBEP OLAN</t>
  </si>
  <si>
    <t>Satır Etiketleri</t>
  </si>
  <si>
    <t>Toplam Net Kapasite Direkt</t>
  </si>
  <si>
    <t>Toplam Üretilen Değer (Sap Verisi)</t>
  </si>
  <si>
    <t>Toplam Duruş</t>
  </si>
  <si>
    <t>Toplam Toplam Girilen İşçilik</t>
  </si>
  <si>
    <t>Genel Toplam</t>
  </si>
  <si>
    <t>G14XXX</t>
  </si>
  <si>
    <t>Yönetim Sistemleri</t>
  </si>
  <si>
    <t>Artması İyi</t>
  </si>
  <si>
    <t>%</t>
  </si>
  <si>
    <t>Verimlilik Fabrika I</t>
  </si>
  <si>
    <t>Net Kapasite</t>
  </si>
  <si>
    <t>Üretilen Değer</t>
  </si>
  <si>
    <t>Aylık</t>
  </si>
  <si>
    <t>Kümülatif</t>
  </si>
  <si>
    <t>HEDEF</t>
  </si>
  <si>
    <t>Net Kapasite Direkt / Üretilen Değer * 100</t>
  </si>
  <si>
    <t>Azalması İyi</t>
  </si>
  <si>
    <t>Net İşçilik Kapasite Kaybı Fabrika I</t>
  </si>
  <si>
    <t>Duruş / Net Kapasite * 100</t>
  </si>
  <si>
    <t>Açıklanamayan Süre Fabrika I</t>
  </si>
  <si>
    <t>Girilen İşçilik</t>
  </si>
  <si>
    <t>(Girilen İşçilik - Net Kapasite Direkt) / Girilen İşçilik *100</t>
  </si>
  <si>
    <t>Verimlilik</t>
  </si>
  <si>
    <t>AY</t>
  </si>
  <si>
    <t>Ortalama Net İşçilik Kapasite Kaybı %</t>
  </si>
  <si>
    <t>Ortalama Açklnmyn Süre %</t>
  </si>
  <si>
    <t>Toplam Ocak</t>
  </si>
  <si>
    <t>Toplam Şubat</t>
  </si>
  <si>
    <t>(C/B)*100</t>
  </si>
  <si>
    <t>B-C</t>
  </si>
  <si>
    <t>O+G+D</t>
  </si>
  <si>
    <t>OCAK</t>
  </si>
  <si>
    <t>ÜST ŞASE</t>
  </si>
  <si>
    <t>ALT ŞASE</t>
  </si>
  <si>
    <t>ARM</t>
  </si>
  <si>
    <t>BOM</t>
  </si>
  <si>
    <t>LOADER</t>
  </si>
  <si>
    <t>KÜÇÜK KAYNAKLI</t>
  </si>
  <si>
    <t>ŞASİ (K.K.),ÜST</t>
  </si>
  <si>
    <t>H344000103</t>
  </si>
  <si>
    <t>H235200205</t>
  </si>
  <si>
    <t>ARM (K.K.)</t>
  </si>
  <si>
    <t>H375110104</t>
  </si>
  <si>
    <t>BOM (İŞLEME+AKSESUAR K.K.)</t>
  </si>
  <si>
    <t>H384100600</t>
  </si>
  <si>
    <t>H331240100</t>
  </si>
  <si>
    <t>ŞASİ (KOMPLE),ÜST</t>
  </si>
  <si>
    <t>H345200205</t>
  </si>
  <si>
    <t>ARM K.K.</t>
  </si>
  <si>
    <t>H225100201</t>
  </si>
  <si>
    <t>BOM (K.K.)</t>
  </si>
  <si>
    <t>BRACKET</t>
  </si>
  <si>
    <t>H413001000</t>
  </si>
  <si>
    <t>H304010103</t>
  </si>
  <si>
    <t>H383205100</t>
  </si>
  <si>
    <t>H341265100</t>
  </si>
  <si>
    <t>H204000107</t>
  </si>
  <si>
    <t>ŞASİ (K.K.),ALT</t>
  </si>
  <si>
    <t>H205200102</t>
  </si>
  <si>
    <t>H370102300</t>
  </si>
  <si>
    <t>H224007506</t>
  </si>
  <si>
    <t>H255210102</t>
  </si>
  <si>
    <t>H335100201</t>
  </si>
  <si>
    <t>H370102500</t>
  </si>
  <si>
    <t>H381215100</t>
  </si>
  <si>
    <t>H224012503</t>
  </si>
  <si>
    <t>H223510500</t>
  </si>
  <si>
    <t>H371250100</t>
  </si>
  <si>
    <t>H375200107</t>
  </si>
  <si>
    <t>H415120200</t>
  </si>
  <si>
    <t>H251245101</t>
  </si>
  <si>
    <t>H374012600</t>
  </si>
  <si>
    <t>H345100205CT</t>
  </si>
  <si>
    <t>220LC TADİLAT PARÇASI KAYNAKLI</t>
  </si>
  <si>
    <t>H335110202</t>
  </si>
  <si>
    <t>BOM1 K.M</t>
  </si>
  <si>
    <t>H331225100</t>
  </si>
  <si>
    <t>H255100105CT</t>
  </si>
  <si>
    <t>300LC TADİLAT PARÇASI KAYNAKLI</t>
  </si>
  <si>
    <t>H251267600</t>
  </si>
  <si>
    <t>H202711602Y</t>
  </si>
  <si>
    <t>BRAKET (K.K.)</t>
  </si>
  <si>
    <t>H335113202</t>
  </si>
  <si>
    <t>BOM2 (K.K.)</t>
  </si>
  <si>
    <t>H222301600</t>
  </si>
  <si>
    <t>H205903101</t>
  </si>
  <si>
    <t>H340104604</t>
  </si>
  <si>
    <t>H343204200</t>
  </si>
  <si>
    <t>BRAKET (K.K.),SOL</t>
  </si>
  <si>
    <t>H340161304</t>
  </si>
  <si>
    <t>H342752001Y</t>
  </si>
  <si>
    <t>H375400202</t>
  </si>
  <si>
    <t>H345400201</t>
  </si>
  <si>
    <t>H255400200</t>
  </si>
  <si>
    <t>DESTEK KOLU K.M., SAG, 300LC</t>
  </si>
  <si>
    <t>Ocak zrp009</t>
  </si>
  <si>
    <t>Şubat zrp009</t>
  </si>
  <si>
    <t>Mart zrp009</t>
  </si>
  <si>
    <t>Nisan zrp009</t>
  </si>
  <si>
    <t>Mayıs zrp009</t>
  </si>
  <si>
    <t>Haziran zrp009</t>
  </si>
  <si>
    <t>Temmuz zrp009</t>
  </si>
  <si>
    <t>Ağustos zrp009</t>
  </si>
  <si>
    <t>Eylül zrp009</t>
  </si>
  <si>
    <t>Ekim zrp009</t>
  </si>
  <si>
    <t>Kasım zrp009</t>
  </si>
  <si>
    <t>Aralık zrp009</t>
  </si>
  <si>
    <t>H255400100</t>
  </si>
  <si>
    <t>DESTEK KOLU K.M., SOL, 300LC (burçlu)</t>
  </si>
  <si>
    <t>alt şase</t>
  </si>
  <si>
    <t>üst şase</t>
  </si>
  <si>
    <t>H250103102</t>
  </si>
  <si>
    <t xml:space="preserve">bom </t>
  </si>
  <si>
    <t>arm</t>
  </si>
  <si>
    <t xml:space="preserve">loader </t>
  </si>
  <si>
    <t>küçük kaynaklı</t>
  </si>
  <si>
    <t>H333311200Y</t>
  </si>
  <si>
    <t>H201221001</t>
  </si>
  <si>
    <t>KORKULUK (K.K.)</t>
  </si>
  <si>
    <t>H221231000</t>
  </si>
  <si>
    <t>H221231601</t>
  </si>
  <si>
    <t>H251252601</t>
  </si>
  <si>
    <t>S_ALR_87013617 MALİYET TEYİT EKRANI</t>
  </si>
  <si>
    <t>Ocak (dk)</t>
  </si>
  <si>
    <t>Ocak (sa)</t>
  </si>
  <si>
    <t>Şubat (dk)</t>
  </si>
  <si>
    <t>Şubat (sa)</t>
  </si>
  <si>
    <t>Mart (dk)</t>
  </si>
  <si>
    <t>Mart (sa)</t>
  </si>
  <si>
    <t>Nisan (dk)</t>
  </si>
  <si>
    <t>Nisan (sa)</t>
  </si>
  <si>
    <t>Mayıs (dk)</t>
  </si>
  <si>
    <t>Mayıs (sa)</t>
  </si>
  <si>
    <t>Haziran (dk)</t>
  </si>
  <si>
    <t>Haziran (sa)</t>
  </si>
  <si>
    <t>Temmuz (dk)</t>
  </si>
  <si>
    <t>Temmuz (sa)</t>
  </si>
  <si>
    <t>Ağustos (dk)</t>
  </si>
  <si>
    <t>Ağustos (sa)</t>
  </si>
  <si>
    <t>Eylül (dk)</t>
  </si>
  <si>
    <t>Eylül (sa)</t>
  </si>
  <si>
    <t>Ekim (dk)</t>
  </si>
  <si>
    <t>Ekim (sa)</t>
  </si>
  <si>
    <t>Kasım (dk)</t>
  </si>
  <si>
    <t>Kasım (sa)</t>
  </si>
  <si>
    <t>Aralık (dk)</t>
  </si>
  <si>
    <t>Aralık (sa)</t>
  </si>
  <si>
    <t>H251268400</t>
  </si>
  <si>
    <t xml:space="preserve">* 110012  Kayn. İml. Robotsuz  </t>
  </si>
  <si>
    <t>H371236000</t>
  </si>
  <si>
    <t xml:space="preserve">* 110050  Talaşlı İmalat       </t>
  </si>
  <si>
    <t>H411213200</t>
  </si>
  <si>
    <t xml:space="preserve">* 110051  Talaşlı İmalat-2  </t>
  </si>
  <si>
    <t>HY170212026</t>
  </si>
  <si>
    <t xml:space="preserve">* 110015  Kayn. İml. Fanuc             </t>
  </si>
  <si>
    <t>H201201403</t>
  </si>
  <si>
    <t>KORKULUK K.K</t>
  </si>
  <si>
    <t xml:space="preserve">* 110011  Kayn. İml. Motoman            </t>
  </si>
  <si>
    <t>H201222500</t>
  </si>
  <si>
    <t>TOPLAM</t>
  </si>
  <si>
    <t>H251253000</t>
  </si>
  <si>
    <t xml:space="preserve">* 110030  Kayn. İml. Boyahane           </t>
  </si>
  <si>
    <t>H251254000</t>
  </si>
  <si>
    <t xml:space="preserve">* 110100  Montaj Boyahane               </t>
  </si>
  <si>
    <t>H331200201</t>
  </si>
  <si>
    <t xml:space="preserve">* 110110  Montaj                       </t>
  </si>
  <si>
    <t>H331233300</t>
  </si>
  <si>
    <t>Hortum Atölye</t>
  </si>
  <si>
    <t>Montaj -PDI</t>
  </si>
  <si>
    <t>H371236601</t>
  </si>
  <si>
    <t>H301200203</t>
  </si>
  <si>
    <t>H371235500</t>
  </si>
  <si>
    <t>H201201100</t>
  </si>
  <si>
    <t>H346132100</t>
  </si>
  <si>
    <t>LEVYE (K.K.)</t>
  </si>
  <si>
    <t>H346132700</t>
  </si>
  <si>
    <t>H385400500</t>
  </si>
  <si>
    <t>MEKANİZMA KOLU (K.K.)</t>
  </si>
  <si>
    <t>H345400101</t>
  </si>
  <si>
    <t>MEKANİZMA KOLU (K.K.),SOL</t>
  </si>
  <si>
    <t>H375400103</t>
  </si>
  <si>
    <t>H342030201Y</t>
  </si>
  <si>
    <t>H255400502</t>
  </si>
  <si>
    <t>PALET K.M. 300LC</t>
  </si>
  <si>
    <t>H205400502</t>
  </si>
  <si>
    <t>H345400601</t>
  </si>
  <si>
    <t>H345401400</t>
  </si>
  <si>
    <t>SAC</t>
  </si>
  <si>
    <t>H220153100</t>
  </si>
  <si>
    <t>SAC (K.K.)</t>
  </si>
  <si>
    <t>H253205200</t>
  </si>
  <si>
    <t>SAC (KOMPLE)</t>
  </si>
  <si>
    <t>H343207700</t>
  </si>
  <si>
    <t>H345210101</t>
  </si>
  <si>
    <t>ARM (AKSESUAR K.K. + İŞLEME)</t>
  </si>
  <si>
    <t>H255100106</t>
  </si>
  <si>
    <t>BOM (AKSESUAR K.K. + İŞLEME)</t>
  </si>
  <si>
    <t>R2331-16000</t>
  </si>
  <si>
    <t>H255200105</t>
  </si>
  <si>
    <t>R2315-00200</t>
  </si>
  <si>
    <t>BRACKET, LAMB</t>
  </si>
  <si>
    <t>H304000104</t>
  </si>
  <si>
    <t>R6031-17500</t>
  </si>
  <si>
    <t>CAB UNDER COVER B LH</t>
  </si>
  <si>
    <t>CAB UNDER COVER E RH</t>
  </si>
  <si>
    <t>R2315-10050</t>
  </si>
  <si>
    <t>COVER</t>
  </si>
  <si>
    <t>H224012504</t>
  </si>
  <si>
    <t>R2301-14100</t>
  </si>
  <si>
    <t>GENLEŞME TANKI BRAKETİ</t>
  </si>
  <si>
    <t>H251201601</t>
  </si>
  <si>
    <t>H250102903</t>
  </si>
  <si>
    <t>BRAKET</t>
  </si>
  <si>
    <t>H342332300</t>
  </si>
  <si>
    <t>R2331-14000</t>
  </si>
  <si>
    <t>PLATE, L.H</t>
  </si>
  <si>
    <t>R2305-16107</t>
  </si>
  <si>
    <t>PLATE,SMARTLINK ASSY</t>
  </si>
  <si>
    <t>H203201000</t>
  </si>
  <si>
    <t>H250102703</t>
  </si>
  <si>
    <t>H250215500</t>
  </si>
  <si>
    <t>R6031-17000-0</t>
  </si>
  <si>
    <t>CAB UNDER COVER A LH</t>
  </si>
  <si>
    <t>KAPAK (K.K.)</t>
  </si>
  <si>
    <t>KAPAK (K.K.),ALT</t>
  </si>
  <si>
    <t>H201240400</t>
  </si>
  <si>
    <t>H221232300</t>
  </si>
  <si>
    <t>H221232800</t>
  </si>
  <si>
    <t>H251254001</t>
  </si>
  <si>
    <t>H251274300</t>
  </si>
  <si>
    <t>H251274800</t>
  </si>
  <si>
    <t>H301217000</t>
  </si>
  <si>
    <t>H301217500</t>
  </si>
  <si>
    <t>H331233301</t>
  </si>
  <si>
    <t>H331233601</t>
  </si>
  <si>
    <t>H341266300</t>
  </si>
  <si>
    <t>H341273500</t>
  </si>
  <si>
    <t>H251253001</t>
  </si>
  <si>
    <t>H251253502</t>
  </si>
  <si>
    <t>H251273800</t>
  </si>
  <si>
    <t>H252010601Y</t>
  </si>
  <si>
    <t>MOTOR BAGLANTI KULAGI K.M., ARKA</t>
  </si>
  <si>
    <t>H372000501Y</t>
  </si>
  <si>
    <t>H372000900Y</t>
  </si>
  <si>
    <t>PALET K.M.</t>
  </si>
  <si>
    <t>R2315-00100</t>
  </si>
  <si>
    <t>PLATE</t>
  </si>
  <si>
    <t>H343207900</t>
  </si>
  <si>
    <t>H224307604</t>
  </si>
  <si>
    <t>R6031-27000-0</t>
  </si>
  <si>
    <t>UNDER COVER RIGHT BACK</t>
  </si>
  <si>
    <t>R6031-26500-0</t>
  </si>
  <si>
    <t>UNDER COVER, LEFT BACK</t>
  </si>
  <si>
    <t>H334000103</t>
  </si>
  <si>
    <t>H345230100</t>
  </si>
  <si>
    <t>H345130100</t>
  </si>
  <si>
    <t>KILAVUZ</t>
  </si>
  <si>
    <t>60267-00101</t>
  </si>
  <si>
    <t>SHAFT</t>
  </si>
  <si>
    <t>H203205600</t>
  </si>
  <si>
    <t>H384020102</t>
  </si>
  <si>
    <t>H252343100</t>
  </si>
  <si>
    <t>H233510403</t>
  </si>
  <si>
    <t>H252343200</t>
  </si>
  <si>
    <t>H224505801</t>
  </si>
  <si>
    <t>H370102101</t>
  </si>
  <si>
    <t>R6031-17200-0</t>
  </si>
  <si>
    <t>CAB UNDER COVER C</t>
  </si>
  <si>
    <t>H303114003</t>
  </si>
  <si>
    <t>KAPAK SACI</t>
  </si>
  <si>
    <t>H371235501</t>
  </si>
  <si>
    <t>H371236001</t>
  </si>
  <si>
    <t>H371236602</t>
  </si>
  <si>
    <t>H371263000</t>
  </si>
  <si>
    <t>H371263300</t>
  </si>
  <si>
    <t>MEKANİZMA KOLU (K.K.),SAĞ</t>
  </si>
  <si>
    <t>H342030902Y</t>
  </si>
  <si>
    <t>H342030602Y</t>
  </si>
  <si>
    <t>H700314100</t>
  </si>
  <si>
    <t>MUHAFAZA (K.K.)</t>
  </si>
  <si>
    <t>R4615-12230-0</t>
  </si>
  <si>
    <t>ÖN ŞASİ SACI KM</t>
  </si>
  <si>
    <t>R4615-12240-0</t>
  </si>
  <si>
    <t>ÖN ŞASİ SACI KM-2</t>
  </si>
  <si>
    <t>R4615-12077-0</t>
  </si>
  <si>
    <t>ÖN ŞASİ SACI-2</t>
  </si>
  <si>
    <t>H303112903</t>
  </si>
  <si>
    <t>SAC, KAPATMA</t>
  </si>
  <si>
    <t>R5642-22480-0Y</t>
  </si>
  <si>
    <t>TRANSFER BRAKETI KM</t>
  </si>
  <si>
    <t>R6031-24000-0</t>
  </si>
  <si>
    <t>UNDER COVER</t>
  </si>
  <si>
    <t>H340185601</t>
  </si>
  <si>
    <t>H541204700</t>
  </si>
  <si>
    <t>H304101500</t>
  </si>
  <si>
    <t>H521230000</t>
  </si>
  <si>
    <t>BOM K.M</t>
  </si>
  <si>
    <t>H521227600</t>
  </si>
  <si>
    <t>H305200100</t>
  </si>
  <si>
    <t>BOM-1 (K.K.)</t>
  </si>
  <si>
    <t>61686-00400</t>
  </si>
  <si>
    <t>H203510600</t>
  </si>
  <si>
    <t>R6031-17400-0</t>
  </si>
  <si>
    <t>R6031-18000-0</t>
  </si>
  <si>
    <t>COVER, PUMP LH</t>
  </si>
  <si>
    <t>R5642-21014-0</t>
  </si>
  <si>
    <t>GREYDER OPERA  ARKA KAPAK SACI KOMPLESİ</t>
  </si>
  <si>
    <t>KORUYUCU (K.K.)</t>
  </si>
  <si>
    <t>H900525101</t>
  </si>
  <si>
    <t>R5642-22470-0Y</t>
  </si>
  <si>
    <t>MUSLUK BAG. SACI KM</t>
  </si>
  <si>
    <t>R6002-33050-0</t>
  </si>
  <si>
    <t>PLATE ASSY</t>
  </si>
  <si>
    <t>R6001-30056</t>
  </si>
  <si>
    <t>PLATE ASSY,PIPE</t>
  </si>
  <si>
    <t>R6005-16101-0</t>
  </si>
  <si>
    <t>PLATE,CONTROL_UNIT_CONNECTION_RIGHT ASSY</t>
  </si>
  <si>
    <t>R5642-22460-0Y</t>
  </si>
  <si>
    <t>REKOR BRAKETI KM</t>
  </si>
  <si>
    <t>R4615-14080-0</t>
  </si>
  <si>
    <t>TUTAMAK</t>
  </si>
  <si>
    <t>H411200102</t>
  </si>
  <si>
    <t>R6031-17600-0</t>
  </si>
  <si>
    <t>CAB UNDER COVER D RH</t>
  </si>
  <si>
    <t>H221231100</t>
  </si>
  <si>
    <t>R6001-32030-0</t>
  </si>
  <si>
    <t>SPIDER ASSY</t>
  </si>
  <si>
    <t>R6033-14050-0</t>
  </si>
  <si>
    <t>STEP</t>
  </si>
  <si>
    <t>TUTAMAK (K.K.)</t>
  </si>
  <si>
    <t>H301000101</t>
  </si>
  <si>
    <t>ŞASİ (K.K.) ,ÜST</t>
  </si>
  <si>
    <t>KOL (K.K.)</t>
  </si>
  <si>
    <t>BASAMAK (K.K.)</t>
  </si>
  <si>
    <t>R6069-20010-0</t>
  </si>
  <si>
    <t>BRACKET ACC</t>
  </si>
  <si>
    <t>R2301-12050</t>
  </si>
  <si>
    <t>R2349-10015</t>
  </si>
  <si>
    <t>R2349-10016</t>
  </si>
  <si>
    <t>R6002-30015</t>
  </si>
  <si>
    <t>BRAKET, SUSTURUCU</t>
  </si>
  <si>
    <t>R6031-17800-0</t>
  </si>
  <si>
    <t>R6049-12050-0</t>
  </si>
  <si>
    <t>CONDENSER, BRACKET</t>
  </si>
  <si>
    <t>R6031-18200-0</t>
  </si>
  <si>
    <t>COVER,PUMP RH</t>
  </si>
  <si>
    <t>R6053-12000</t>
  </si>
  <si>
    <t>PLATE, BATTERY ASSY</t>
  </si>
  <si>
    <t>SAC K.K</t>
  </si>
  <si>
    <t>R5642-15185</t>
  </si>
  <si>
    <t>Ödünç İşçilik</t>
  </si>
  <si>
    <t>Toplam Mart</t>
  </si>
  <si>
    <t>Toplam Nisan</t>
  </si>
  <si>
    <t>Toplam Mayıs</t>
  </si>
  <si>
    <t>Toplam Haziran</t>
  </si>
  <si>
    <t>Ödünç + Üretilen Değer</t>
  </si>
  <si>
    <t>Toplam Ödünç + Üretilen Değer</t>
  </si>
  <si>
    <t>Toplam Fark (PDKS - Toplam Üretilen Değer)</t>
  </si>
  <si>
    <t>H371272600</t>
  </si>
  <si>
    <t>H205210102</t>
  </si>
  <si>
    <t>H205100105</t>
  </si>
  <si>
    <t>H415100101</t>
  </si>
  <si>
    <t>R2315-10200</t>
  </si>
  <si>
    <t>STOP LAMP,BRACKET RH</t>
  </si>
  <si>
    <t>R2315-04400</t>
  </si>
  <si>
    <t>SUPPORT, BATT. BKT L.H.</t>
  </si>
  <si>
    <t>R2353-10013</t>
  </si>
  <si>
    <t>BRACKET ASSY, MASTER CUTTER</t>
  </si>
  <si>
    <t>R6005-16033-0</t>
  </si>
  <si>
    <t>BRACKET, CABIN NORDIC LAMP ASSY LEFT</t>
  </si>
  <si>
    <t>R6005-16034-0</t>
  </si>
  <si>
    <t>BRACKET, CABIN NORDIC LAMP RIGHT ASSY</t>
  </si>
  <si>
    <t>R2301-13050</t>
  </si>
  <si>
    <t>R2308-12000</t>
  </si>
  <si>
    <t>H202010203Y</t>
  </si>
  <si>
    <t>BRAKET (K.K)</t>
  </si>
  <si>
    <t>H202010603Y</t>
  </si>
  <si>
    <t>H412704000Y</t>
  </si>
  <si>
    <t>R6005-16200-0</t>
  </si>
  <si>
    <t>PLATE,CONTROL UNIT CONNECTION ASSY</t>
  </si>
  <si>
    <t>H220100801</t>
  </si>
  <si>
    <t>R2315-10100</t>
  </si>
  <si>
    <t>STOP LAMP,BRACKET LH</t>
  </si>
  <si>
    <t>H341274500</t>
  </si>
  <si>
    <t>R6031-27500-0</t>
  </si>
  <si>
    <t>UNDER COVER D WELD ASSY</t>
  </si>
  <si>
    <t>Toplam Temmuz</t>
  </si>
  <si>
    <t>Toplam Ağustos</t>
  </si>
  <si>
    <t>Toplam Eylül</t>
  </si>
  <si>
    <t>Toplam Ekim</t>
  </si>
  <si>
    <t>Toplam Kasım</t>
  </si>
  <si>
    <t>Toplam Aralık</t>
  </si>
  <si>
    <t>R6031-25000-0</t>
  </si>
  <si>
    <t>CROS  MEMBER Weld assy</t>
  </si>
  <si>
    <t>H201242100</t>
  </si>
  <si>
    <t>H411212501</t>
  </si>
  <si>
    <t>H301217900</t>
  </si>
  <si>
    <t>H340601401</t>
  </si>
  <si>
    <t>R5642-15130-0</t>
  </si>
  <si>
    <t>OPS.ATAS.BAĞ.BRAKETİ KOMPLESİ</t>
  </si>
  <si>
    <t>R6001-30050-0</t>
  </si>
  <si>
    <t>H203015501</t>
  </si>
  <si>
    <t>Toplam Fazla Mesai %</t>
  </si>
  <si>
    <t>(Tümü)</t>
  </si>
  <si>
    <t>Toplam Fazla Mesai Direkt</t>
  </si>
  <si>
    <t>Toplam Fazla Mesai Endirekt</t>
  </si>
  <si>
    <t>Kaynaklı imalat</t>
  </si>
  <si>
    <t>Talaşlı imalat</t>
  </si>
  <si>
    <t xml:space="preserve">Fabrika 1 Toplam </t>
  </si>
  <si>
    <t>DİREK (saat)</t>
  </si>
  <si>
    <t>ENDİREK (saat)</t>
  </si>
  <si>
    <t>H415123201</t>
  </si>
  <si>
    <t>R2302-20150</t>
  </si>
  <si>
    <t>R2302-20155</t>
  </si>
  <si>
    <t>R2302-20160</t>
  </si>
  <si>
    <t>R2303-20010</t>
  </si>
  <si>
    <t>P70115</t>
  </si>
  <si>
    <t>H250102701</t>
  </si>
  <si>
    <t>R2349-10110</t>
  </si>
  <si>
    <t>L222312300</t>
  </si>
  <si>
    <t>61686-10500</t>
  </si>
  <si>
    <t>SLEEVE</t>
  </si>
  <si>
    <t>Boyahaneler</t>
  </si>
  <si>
    <t>Genel Ortalama</t>
  </si>
  <si>
    <t>Personel</t>
  </si>
  <si>
    <t>Fazla Mesai/Personel</t>
  </si>
  <si>
    <t>H381225100</t>
  </si>
  <si>
    <t>ARM, 2.6</t>
  </si>
  <si>
    <t>R2315-00300</t>
  </si>
  <si>
    <t>ÇALIŞMA LAMBASI,BRAKET KOMPLESİ</t>
  </si>
  <si>
    <t>R6031-26050-0</t>
  </si>
  <si>
    <t>REAR TOW PIN WELD ASSY</t>
  </si>
  <si>
    <t>SAC(K.K.)</t>
  </si>
  <si>
    <t>H384106501</t>
  </si>
  <si>
    <t>H200122700</t>
  </si>
  <si>
    <t>H250125100</t>
  </si>
  <si>
    <t>KELEPÇE</t>
  </si>
  <si>
    <t>MUHAFAZA,ÜST</t>
  </si>
  <si>
    <t>R2361-12000</t>
  </si>
  <si>
    <t>SUPPORT PLATE ASSY</t>
  </si>
  <si>
    <t>H254000108</t>
  </si>
  <si>
    <t>H254010106</t>
  </si>
  <si>
    <t>H255230100</t>
  </si>
  <si>
    <t>60267-10200</t>
  </si>
  <si>
    <t>ARM,SCARIFIER</t>
  </si>
  <si>
    <t>H255130100</t>
  </si>
  <si>
    <t>BOM-2 (K.K.)</t>
  </si>
  <si>
    <t>R2315-23800</t>
  </si>
  <si>
    <t>BRACKET, L.H</t>
  </si>
  <si>
    <t>R2305-16101</t>
  </si>
  <si>
    <t>PLATE_1,SIDE PANEL ASSY</t>
  </si>
  <si>
    <t>R2305-12111</t>
  </si>
  <si>
    <t>POWER FUSE BOX,ASSY</t>
  </si>
  <si>
    <t>H221231602</t>
  </si>
  <si>
    <t>H221236000</t>
  </si>
  <si>
    <t>H301227000</t>
  </si>
  <si>
    <t>H341274600</t>
  </si>
  <si>
    <t>H341275000</t>
  </si>
  <si>
    <t>H341275300</t>
  </si>
  <si>
    <t>H203022901</t>
  </si>
  <si>
    <t>tamam</t>
  </si>
  <si>
    <t>H305200102</t>
  </si>
  <si>
    <t>H255110200</t>
  </si>
  <si>
    <t>BOM-1</t>
  </si>
  <si>
    <t>H255114200</t>
  </si>
  <si>
    <t>BOM-2, AKSESUAR</t>
  </si>
  <si>
    <t>R2315-14100</t>
  </si>
  <si>
    <t>L212105300</t>
  </si>
  <si>
    <t>L212504500</t>
  </si>
  <si>
    <t>L215202700</t>
  </si>
  <si>
    <t>L216420600Y</t>
  </si>
  <si>
    <t>L212321500</t>
  </si>
  <si>
    <t>KAPAK(K.K.)</t>
  </si>
  <si>
    <t>L211102500Y</t>
  </si>
  <si>
    <t>KİLİT (K.K.)</t>
  </si>
  <si>
    <t>L212321200</t>
  </si>
  <si>
    <t>L212321100</t>
  </si>
  <si>
    <t>R2357-10414-Y</t>
  </si>
  <si>
    <t>L213101700</t>
  </si>
  <si>
    <t>H340161501</t>
  </si>
  <si>
    <t>HG180501001</t>
  </si>
  <si>
    <t>R2373-14000</t>
  </si>
  <si>
    <t>BRAKET (K.K.),SAĞ</t>
  </si>
  <si>
    <t>L212506300</t>
  </si>
  <si>
    <t>L212506800</t>
  </si>
  <si>
    <t>L218004100</t>
  </si>
  <si>
    <t>BRAKET (KOMPLE)</t>
  </si>
  <si>
    <t>L218004700</t>
  </si>
  <si>
    <t>H303332200</t>
  </si>
  <si>
    <t>KELEPÇE,ÖZEL (K.K.)</t>
  </si>
  <si>
    <t>H303332400</t>
  </si>
  <si>
    <t>R2373-15000</t>
  </si>
  <si>
    <t>H221235300</t>
  </si>
  <si>
    <t>H221236100</t>
  </si>
  <si>
    <t>H301227300</t>
  </si>
  <si>
    <t>H301227500</t>
  </si>
  <si>
    <t>H441218500</t>
  </si>
  <si>
    <t>H441219000</t>
  </si>
  <si>
    <t>L213601000</t>
  </si>
  <si>
    <t>H200198700</t>
  </si>
  <si>
    <t>H344003401</t>
  </si>
  <si>
    <t>ŞUBAT</t>
  </si>
  <si>
    <t>H501000001</t>
  </si>
  <si>
    <t>H341262600</t>
  </si>
  <si>
    <t>H381200100</t>
  </si>
  <si>
    <t>H334010102</t>
  </si>
  <si>
    <t>ŞASİ (K.K.)</t>
  </si>
  <si>
    <t>H344010102</t>
  </si>
  <si>
    <t>H374000106</t>
  </si>
  <si>
    <t>H374010105</t>
  </si>
  <si>
    <t>H385220100</t>
  </si>
  <si>
    <t>H385210101</t>
  </si>
  <si>
    <t>H375100104</t>
  </si>
  <si>
    <t>H385110100</t>
  </si>
  <si>
    <t>L215100100</t>
  </si>
  <si>
    <t>H385120100</t>
  </si>
  <si>
    <t>BOM K.K., 6.9m</t>
  </si>
  <si>
    <t>H205900201</t>
  </si>
  <si>
    <t>H415120202</t>
  </si>
  <si>
    <t>BOM1 AKSESUAR, 2P, 145LCSR</t>
  </si>
  <si>
    <t>R2315-23900</t>
  </si>
  <si>
    <t>BRACKET, R.H</t>
  </si>
  <si>
    <t>R2357-21010</t>
  </si>
  <si>
    <t>L225105000</t>
  </si>
  <si>
    <t>L212200500</t>
  </si>
  <si>
    <t>H345314100</t>
  </si>
  <si>
    <t>KANCA (K.K.)</t>
  </si>
  <si>
    <t>L225320101</t>
  </si>
  <si>
    <t>KEPÇE,YÜKLEYİCİ (K.K.)</t>
  </si>
  <si>
    <t>60286-00201</t>
  </si>
  <si>
    <t>LINK</t>
  </si>
  <si>
    <t>L225200801</t>
  </si>
  <si>
    <t>MEKANİZMA (K.K.),SAĞ</t>
  </si>
  <si>
    <t>L225200101</t>
  </si>
  <si>
    <t>MEKANİZMA (K.K.),SOL</t>
  </si>
  <si>
    <t>L212320200</t>
  </si>
  <si>
    <t>MUHAFAZA (K.K)</t>
  </si>
  <si>
    <t>R2314-51000</t>
  </si>
  <si>
    <t>SEAT FRAME</t>
  </si>
  <si>
    <t>L224000100</t>
  </si>
  <si>
    <t>ŞASİ (K.K.),ARKA</t>
  </si>
  <si>
    <t>L221000101</t>
  </si>
  <si>
    <t>ŞASİ (K.K.),ÖN</t>
  </si>
  <si>
    <t>L225100100</t>
  </si>
  <si>
    <t>YÜKLEYİCİ KOL (K.K.)</t>
  </si>
  <si>
    <t>H234301801</t>
  </si>
  <si>
    <t>ALT BAGLANTI K.M.</t>
  </si>
  <si>
    <t>L223505500</t>
  </si>
  <si>
    <t>BORU</t>
  </si>
  <si>
    <t>H341275500</t>
  </si>
  <si>
    <t>BORU (K.K.)</t>
  </si>
  <si>
    <t>L212001000Y</t>
  </si>
  <si>
    <t>L222305501</t>
  </si>
  <si>
    <t>L222308400</t>
  </si>
  <si>
    <t>L223102300</t>
  </si>
  <si>
    <t>L224211600</t>
  </si>
  <si>
    <t>H223525500</t>
  </si>
  <si>
    <t>H250186100Y</t>
  </si>
  <si>
    <t>H300150600</t>
  </si>
  <si>
    <t>H302215400</t>
  </si>
  <si>
    <t>H303112502</t>
  </si>
  <si>
    <t>H303114102</t>
  </si>
  <si>
    <t>H340161500</t>
  </si>
  <si>
    <t>H340179100</t>
  </si>
  <si>
    <t>H342010301</t>
  </si>
  <si>
    <t>H342732501Y</t>
  </si>
  <si>
    <t>H343110900</t>
  </si>
  <si>
    <t>H343111500</t>
  </si>
  <si>
    <t>H370150100</t>
  </si>
  <si>
    <t>H373018700</t>
  </si>
  <si>
    <t>H373019600</t>
  </si>
  <si>
    <t>H382000301Y</t>
  </si>
  <si>
    <t>H382000800Y</t>
  </si>
  <si>
    <t>H382001000Y</t>
  </si>
  <si>
    <t>H382001400Y</t>
  </si>
  <si>
    <t>H410605500</t>
  </si>
  <si>
    <t>H412502100</t>
  </si>
  <si>
    <t>H413210100</t>
  </si>
  <si>
    <t>HG190720001</t>
  </si>
  <si>
    <t>L222207300</t>
  </si>
  <si>
    <t>L222207600</t>
  </si>
  <si>
    <t>L222312600</t>
  </si>
  <si>
    <t>L222407500</t>
  </si>
  <si>
    <t>L224207000</t>
  </si>
  <si>
    <t>L224212200</t>
  </si>
  <si>
    <t>L224212400</t>
  </si>
  <si>
    <t>L224502500</t>
  </si>
  <si>
    <t>L224502900</t>
  </si>
  <si>
    <t>H252000201</t>
  </si>
  <si>
    <t>BRAKET (K.K.),ÖN</t>
  </si>
  <si>
    <t>H252000800</t>
  </si>
  <si>
    <t>H252702500Y</t>
  </si>
  <si>
    <t>BRAKET K.K., KOMPRESÖR</t>
  </si>
  <si>
    <t>H252725100Y</t>
  </si>
  <si>
    <t>BRAKET K.M., KOMPRESÖR</t>
  </si>
  <si>
    <t>R6031-29500-0</t>
  </si>
  <si>
    <t>COVER, UNDER C WELD ASSY</t>
  </si>
  <si>
    <t>R6031-29000-0</t>
  </si>
  <si>
    <t>COVER, UNDER D ASSY</t>
  </si>
  <si>
    <t>R6031-28500-0</t>
  </si>
  <si>
    <t>COVER, UNDER LEFT BACK ASSY</t>
  </si>
  <si>
    <t>H340111505</t>
  </si>
  <si>
    <t>ÇENE (K.K.)</t>
  </si>
  <si>
    <t>L222000300</t>
  </si>
  <si>
    <t>DESTEK</t>
  </si>
  <si>
    <t>L222000800</t>
  </si>
  <si>
    <t>H223003600</t>
  </si>
  <si>
    <t>DESTEK (K.K.)</t>
  </si>
  <si>
    <t>H303005700Y</t>
  </si>
  <si>
    <t>DESTEK PARÇASI</t>
  </si>
  <si>
    <t>L224212100</t>
  </si>
  <si>
    <t>L224219200</t>
  </si>
  <si>
    <t>L224219500</t>
  </si>
  <si>
    <t>L224218600</t>
  </si>
  <si>
    <t>H250184800Y</t>
  </si>
  <si>
    <t>H201245000</t>
  </si>
  <si>
    <t>H221201201</t>
  </si>
  <si>
    <t>H221231101</t>
  </si>
  <si>
    <t>H221236300</t>
  </si>
  <si>
    <t>H371264000</t>
  </si>
  <si>
    <t>H381231801</t>
  </si>
  <si>
    <t>H381232101</t>
  </si>
  <si>
    <t>H381232401</t>
  </si>
  <si>
    <t>H381234600</t>
  </si>
  <si>
    <t>H381235100</t>
  </si>
  <si>
    <t>H251275600</t>
  </si>
  <si>
    <t>KORKULUK K.K.</t>
  </si>
  <si>
    <t>H341206602</t>
  </si>
  <si>
    <t>KORKULUK K.M.</t>
  </si>
  <si>
    <t>H204302603</t>
  </si>
  <si>
    <t>H204305601</t>
  </si>
  <si>
    <t>H224310201</t>
  </si>
  <si>
    <t>H250305200</t>
  </si>
  <si>
    <t>H370312200</t>
  </si>
  <si>
    <t>L215104200Y</t>
  </si>
  <si>
    <t>KORUYUCU, (K.K.)</t>
  </si>
  <si>
    <t>H205400100</t>
  </si>
  <si>
    <t>H205400200</t>
  </si>
  <si>
    <t>L225400100</t>
  </si>
  <si>
    <t>H255400201</t>
  </si>
  <si>
    <t>H255400101</t>
  </si>
  <si>
    <t>H202010600Y</t>
  </si>
  <si>
    <t>MOTOR KULAK ARKA SAG KM</t>
  </si>
  <si>
    <t>H330603000</t>
  </si>
  <si>
    <t>H375400501</t>
  </si>
  <si>
    <t>PALET K.M., 370LC</t>
  </si>
  <si>
    <t>H250186400Y</t>
  </si>
  <si>
    <t>PİM (K.K.)</t>
  </si>
  <si>
    <t>H154006501</t>
  </si>
  <si>
    <t>H201026100</t>
  </si>
  <si>
    <t>L221103400</t>
  </si>
  <si>
    <t>L223002000</t>
  </si>
  <si>
    <t>L224203201</t>
  </si>
  <si>
    <t>L224204000</t>
  </si>
  <si>
    <t>L224215600</t>
  </si>
  <si>
    <t>L224217300</t>
  </si>
  <si>
    <t>L224217600</t>
  </si>
  <si>
    <t>H200180300</t>
  </si>
  <si>
    <t>H223011201</t>
  </si>
  <si>
    <t>H234112600</t>
  </si>
  <si>
    <t>H373013100</t>
  </si>
  <si>
    <t>H373020500</t>
  </si>
  <si>
    <t>H383070000</t>
  </si>
  <si>
    <t>H413004101</t>
  </si>
  <si>
    <t>H413004400</t>
  </si>
  <si>
    <t>L906131600</t>
  </si>
  <si>
    <t>SAC (K.K)</t>
  </si>
  <si>
    <t>H220102000</t>
  </si>
  <si>
    <t>SAC,SAĞ</t>
  </si>
  <si>
    <t>H220101800</t>
  </si>
  <si>
    <t>SAC,SOL</t>
  </si>
  <si>
    <t>L212409100</t>
  </si>
  <si>
    <t>TABLA (K.K.)</t>
  </si>
  <si>
    <t>H203510300</t>
  </si>
  <si>
    <t>TAKVİYE (K.K.)</t>
  </si>
  <si>
    <t>MART</t>
  </si>
  <si>
    <t>r6083-11150-0</t>
  </si>
  <si>
    <t>r6083-11050-0</t>
  </si>
  <si>
    <t>61981-20401</t>
  </si>
  <si>
    <t>r6031-25000-0</t>
  </si>
  <si>
    <t>r6031-26050-0</t>
  </si>
  <si>
    <t>H521228001</t>
  </si>
  <si>
    <t>ŞASİ (KOMPLE), ÜST</t>
  </si>
  <si>
    <t>H221215101</t>
  </si>
  <si>
    <t>H205200103</t>
  </si>
  <si>
    <t>R6064-21000</t>
  </si>
  <si>
    <t>BAR, CROSS</t>
  </si>
  <si>
    <t>H375100105</t>
  </si>
  <si>
    <t>H605100100</t>
  </si>
  <si>
    <t>H345600201</t>
  </si>
  <si>
    <t>H225110202</t>
  </si>
  <si>
    <t>BOM1 K.M., 200W 2P</t>
  </si>
  <si>
    <t>R6083-11050-0</t>
  </si>
  <si>
    <t>R6083-11150-0</t>
  </si>
  <si>
    <t>L215106200</t>
  </si>
  <si>
    <t>L212105301</t>
  </si>
  <si>
    <t>BRAKET(K.K.)</t>
  </si>
  <si>
    <t>L211102300</t>
  </si>
  <si>
    <t>KAPAK (KOMPLE)</t>
  </si>
  <si>
    <t>L215320100</t>
  </si>
  <si>
    <t>LINK,LOVER</t>
  </si>
  <si>
    <t>R2331-12000</t>
  </si>
  <si>
    <t>R2331-15000</t>
  </si>
  <si>
    <t>PLATE, R</t>
  </si>
  <si>
    <t>R2331-13000</t>
  </si>
  <si>
    <t>PLATE, R.H</t>
  </si>
  <si>
    <t>L225306200</t>
  </si>
  <si>
    <t>L216415100</t>
  </si>
  <si>
    <t>L216415700</t>
  </si>
  <si>
    <t>L216417100</t>
  </si>
  <si>
    <t>L216417300</t>
  </si>
  <si>
    <t>R2315-04500</t>
  </si>
  <si>
    <t>SUPPORT, BATT. BKT. R.H</t>
  </si>
  <si>
    <t>PL224030100</t>
  </si>
  <si>
    <t>ŞASİ (K.K.) ARKA</t>
  </si>
  <si>
    <t>PL221030100</t>
  </si>
  <si>
    <t>H344100900</t>
  </si>
  <si>
    <t>BASAMAK SACI K.M.</t>
  </si>
  <si>
    <t>L222001000Y</t>
  </si>
  <si>
    <t>R2349-10120</t>
  </si>
  <si>
    <t>H200102100</t>
  </si>
  <si>
    <t>H203141001</t>
  </si>
  <si>
    <t>H250102901</t>
  </si>
  <si>
    <t>H370502800</t>
  </si>
  <si>
    <t>H373016500</t>
  </si>
  <si>
    <t>H412210600</t>
  </si>
  <si>
    <t>H412311000</t>
  </si>
  <si>
    <t>H604105000</t>
  </si>
  <si>
    <t>H200113102</t>
  </si>
  <si>
    <t>H343326400</t>
  </si>
  <si>
    <t>H343334000</t>
  </si>
  <si>
    <t>H345509002Y</t>
  </si>
  <si>
    <t>H345509501Y</t>
  </si>
  <si>
    <t>H251253002</t>
  </si>
  <si>
    <t>H251253503</t>
  </si>
  <si>
    <t>H251254002</t>
  </si>
  <si>
    <t>H251268401</t>
  </si>
  <si>
    <t>H251273801</t>
  </si>
  <si>
    <t>H251274301</t>
  </si>
  <si>
    <t>H381212000</t>
  </si>
  <si>
    <t>H381212500</t>
  </si>
  <si>
    <t>HY170212018</t>
  </si>
  <si>
    <t>H345550101</t>
  </si>
  <si>
    <t>MAFSAL (K.K.)</t>
  </si>
  <si>
    <t>H345615101</t>
  </si>
  <si>
    <t>H345411200</t>
  </si>
  <si>
    <t>H385400200</t>
  </si>
  <si>
    <t>H345411100</t>
  </si>
  <si>
    <t>H385400102</t>
  </si>
  <si>
    <t>L216200401</t>
  </si>
  <si>
    <t>MENTEŞE (K.K.)</t>
  </si>
  <si>
    <t>H200312200</t>
  </si>
  <si>
    <t>H330312200</t>
  </si>
  <si>
    <t>H345607600</t>
  </si>
  <si>
    <t>H410357600</t>
  </si>
  <si>
    <t>H250180500</t>
  </si>
  <si>
    <t>H363301600</t>
  </si>
  <si>
    <t>H373016700</t>
  </si>
  <si>
    <t>L226403400</t>
  </si>
  <si>
    <t>L216442000</t>
  </si>
  <si>
    <t>TUTAMAK (KOMPLE), SAG</t>
  </si>
  <si>
    <t>L226403300</t>
  </si>
  <si>
    <t>TUTAMAK (KOMPLE),SAĞ</t>
  </si>
  <si>
    <t>L226406400</t>
  </si>
  <si>
    <t>L226402800</t>
  </si>
  <si>
    <t>TUTAMAK (KOMPLE),SOL</t>
  </si>
  <si>
    <t>L226402900</t>
  </si>
  <si>
    <t>L226405400</t>
  </si>
  <si>
    <t>TUTAMAK,SOL</t>
  </si>
  <si>
    <t>* 110012  Kayn. İml. Robotsuz</t>
  </si>
  <si>
    <t>* 110050  Talaşlı İmalat</t>
  </si>
  <si>
    <t>* 110051  Talaşlı İmalat-2</t>
  </si>
  <si>
    <t>* 110015  Kayn. İml. Fanuc</t>
  </si>
  <si>
    <t>* 110011  Kayn. İml. Motoman</t>
  </si>
  <si>
    <t>* 110030  Kayn. İml. Boyahane</t>
  </si>
  <si>
    <t>* 110100  Montaj Boyahane</t>
  </si>
  <si>
    <t>* 110110  Montaj</t>
  </si>
  <si>
    <t>* 110060  Hortum Atölye</t>
  </si>
  <si>
    <t>* 110111  Montaj -PDI</t>
  </si>
  <si>
    <t>NİSAN</t>
  </si>
  <si>
    <t>60581-20501-T</t>
  </si>
  <si>
    <t>CIRCLE,TIP - TASHIH</t>
  </si>
  <si>
    <t>H906283100</t>
  </si>
  <si>
    <t>AYAK DAYAMA</t>
  </si>
  <si>
    <t>L225300101</t>
  </si>
  <si>
    <t>H906283600</t>
  </si>
  <si>
    <t>H906284300</t>
  </si>
  <si>
    <t>AYAK PEDAL</t>
  </si>
  <si>
    <t>H224007507</t>
  </si>
  <si>
    <t>L225350101</t>
  </si>
  <si>
    <t>H330290700</t>
  </si>
  <si>
    <t>H375100106</t>
  </si>
  <si>
    <t>H345610103</t>
  </si>
  <si>
    <t>H341276100</t>
  </si>
  <si>
    <t>H345605100</t>
  </si>
  <si>
    <t>H204304004</t>
  </si>
  <si>
    <t>H701200100</t>
  </si>
  <si>
    <t>H704000101</t>
  </si>
  <si>
    <t>H223012000</t>
  </si>
  <si>
    <t>H225113201</t>
  </si>
  <si>
    <t>BOM2 K.M., 200W 2P</t>
  </si>
  <si>
    <t>H605400500</t>
  </si>
  <si>
    <t>H340104602</t>
  </si>
  <si>
    <t>H906284000</t>
  </si>
  <si>
    <t>PEDAL (K.K.)</t>
  </si>
  <si>
    <t>H906284900</t>
  </si>
  <si>
    <t>H533500500</t>
  </si>
  <si>
    <t>H340161302</t>
  </si>
  <si>
    <t>H503510100</t>
  </si>
  <si>
    <t>H523704100</t>
  </si>
  <si>
    <t>R2305-11006</t>
  </si>
  <si>
    <t>H601203100</t>
  </si>
  <si>
    <t>H304310100</t>
  </si>
  <si>
    <t>DOZER BIÇAĞI (K.K.)</t>
  </si>
  <si>
    <t>H604200700</t>
  </si>
  <si>
    <t>H414300100</t>
  </si>
  <si>
    <t>H220101400</t>
  </si>
  <si>
    <t>SAC (K.K.),SAĞ</t>
  </si>
  <si>
    <t>H345402600</t>
  </si>
  <si>
    <t>H380103200</t>
  </si>
  <si>
    <t>H220101200</t>
  </si>
  <si>
    <t>SAC (K.K.),SOL</t>
  </si>
  <si>
    <t>H380103400</t>
  </si>
  <si>
    <t>H604000600</t>
  </si>
  <si>
    <t>SAC K.K.</t>
  </si>
  <si>
    <t>H604001100</t>
  </si>
  <si>
    <t>H541203101</t>
  </si>
  <si>
    <t>H604107600</t>
  </si>
  <si>
    <t>H201234600</t>
  </si>
  <si>
    <t>H604400300</t>
  </si>
  <si>
    <t>H604404600</t>
  </si>
  <si>
    <t>H201242200</t>
  </si>
  <si>
    <t>H201242800</t>
  </si>
  <si>
    <t>H201243200</t>
  </si>
  <si>
    <t>H221215900</t>
  </si>
  <si>
    <t>H201244300Y</t>
  </si>
  <si>
    <t>H221219400</t>
  </si>
  <si>
    <t>H340180300</t>
  </si>
  <si>
    <t>TUTUCU (K.K.)</t>
  </si>
  <si>
    <t>H375210109</t>
  </si>
  <si>
    <t>H205913100</t>
  </si>
  <si>
    <t>H501201101</t>
  </si>
  <si>
    <t>GÖVDE (K.K.)</t>
  </si>
  <si>
    <t>H501204100</t>
  </si>
  <si>
    <t>H501207501</t>
  </si>
  <si>
    <t>TAŞIYICI (K.K.)</t>
  </si>
  <si>
    <t>H604109400</t>
  </si>
  <si>
    <t>SAC (K.K</t>
  </si>
  <si>
    <t>H604110000</t>
  </si>
  <si>
    <t>(boş)</t>
  </si>
  <si>
    <t>MAYIS</t>
  </si>
  <si>
    <t>110030</t>
  </si>
  <si>
    <t>110100</t>
  </si>
  <si>
    <t>CG200105019</t>
  </si>
  <si>
    <t>KABUK K.M</t>
  </si>
  <si>
    <t>H201030001</t>
  </si>
  <si>
    <t>H341220301</t>
  </si>
  <si>
    <t>H384014602Y</t>
  </si>
  <si>
    <t>H384020103</t>
  </si>
  <si>
    <t>H205210100</t>
  </si>
  <si>
    <t>H325200200</t>
  </si>
  <si>
    <t>H205230101</t>
  </si>
  <si>
    <t>ARM ISLEME, 2.3m, ÖZEL</t>
  </si>
  <si>
    <t>H325100200</t>
  </si>
  <si>
    <t>H525100100</t>
  </si>
  <si>
    <t>H205923100</t>
  </si>
  <si>
    <t>R2357-10410</t>
  </si>
  <si>
    <t>R2315-04200</t>
  </si>
  <si>
    <t>BRACKET, BATT. R.H</t>
  </si>
  <si>
    <t>H251211500</t>
  </si>
  <si>
    <t>DENGE AĞIRLIK (K.K.)</t>
  </si>
  <si>
    <t>H345397100</t>
  </si>
  <si>
    <t>KEPÇE,DUAL RADÜS (K.K.)</t>
  </si>
  <si>
    <t>H604111500</t>
  </si>
  <si>
    <t>DESTEK (K.K)</t>
  </si>
  <si>
    <t>JANT ÇEMBERİ ARKA</t>
  </si>
  <si>
    <t>H200601601</t>
  </si>
  <si>
    <t>H384110300</t>
  </si>
  <si>
    <t>KAPAK (K.K.),SAĞ</t>
  </si>
  <si>
    <t>H384110100</t>
  </si>
  <si>
    <t>KAPAK (K.K.),SOL</t>
  </si>
  <si>
    <t>H371224701</t>
  </si>
  <si>
    <t>H604200200</t>
  </si>
  <si>
    <t>L216446000</t>
  </si>
  <si>
    <t>TUTAMAK, SOL</t>
  </si>
  <si>
    <t>H234301503</t>
  </si>
  <si>
    <t>UST BAGLANTI K.M.</t>
  </si>
  <si>
    <t>Fabrika 6</t>
  </si>
  <si>
    <t>HAZİRAN</t>
  </si>
  <si>
    <t>H321200100</t>
  </si>
  <si>
    <t>Kepçe Arka Ağırlık</t>
  </si>
  <si>
    <t>Loader</t>
  </si>
  <si>
    <t>Greyder</t>
  </si>
  <si>
    <t>Toprak Silindir</t>
  </si>
  <si>
    <t>H324000100</t>
  </si>
  <si>
    <t>H525200100</t>
  </si>
  <si>
    <t>H705100100</t>
  </si>
  <si>
    <t>H305100101</t>
  </si>
  <si>
    <t>H555100101</t>
  </si>
  <si>
    <t>TEMMUZ</t>
  </si>
  <si>
    <t>H254005506</t>
  </si>
  <si>
    <t>H385200102</t>
  </si>
  <si>
    <t>ARM İŞLEME, 2.9m</t>
  </si>
  <si>
    <t>H534400500</t>
  </si>
  <si>
    <t>H330101501</t>
  </si>
  <si>
    <t>H375204302</t>
  </si>
  <si>
    <t>H383013400</t>
  </si>
  <si>
    <t>H523301800</t>
  </si>
  <si>
    <t>H330101001</t>
  </si>
  <si>
    <t>H380113101</t>
  </si>
  <si>
    <t>H200290100</t>
  </si>
  <si>
    <t>H255402600</t>
  </si>
  <si>
    <t>H340113502</t>
  </si>
  <si>
    <t>H384101701</t>
  </si>
  <si>
    <t>H384101501</t>
  </si>
  <si>
    <t>H251274801</t>
  </si>
  <si>
    <t>H341266301</t>
  </si>
  <si>
    <t>H341274601</t>
  </si>
  <si>
    <t>H341275001</t>
  </si>
  <si>
    <t>H381235600</t>
  </si>
  <si>
    <t>H250601400</t>
  </si>
  <si>
    <t>H203020100</t>
  </si>
  <si>
    <t>H604201500</t>
  </si>
  <si>
    <t>H700312100</t>
  </si>
  <si>
    <t>SİLİNDİR (K.K.)</t>
  </si>
  <si>
    <t>5</t>
  </si>
  <si>
    <t>15</t>
  </si>
  <si>
    <t>17</t>
  </si>
  <si>
    <t>22</t>
  </si>
  <si>
    <t>Lojistik için çalışma</t>
  </si>
  <si>
    <t>26</t>
  </si>
  <si>
    <t>9</t>
  </si>
  <si>
    <t>Revir</t>
  </si>
  <si>
    <t>24</t>
  </si>
  <si>
    <t>12</t>
  </si>
  <si>
    <t>13</t>
  </si>
  <si>
    <t>8</t>
  </si>
  <si>
    <t>11</t>
  </si>
  <si>
    <t>16</t>
  </si>
  <si>
    <t>21</t>
  </si>
  <si>
    <t>1</t>
  </si>
  <si>
    <t>4</t>
  </si>
  <si>
    <t>AĞUSTOS</t>
  </si>
  <si>
    <t>H205920200</t>
  </si>
  <si>
    <t>BOM 1 K.M</t>
  </si>
  <si>
    <t>H340330102</t>
  </si>
  <si>
    <t>Loader + Greyder + Toprak Silindir</t>
  </si>
  <si>
    <t>H202717800Y</t>
  </si>
  <si>
    <t>H383009001</t>
  </si>
  <si>
    <t>H383013500</t>
  </si>
  <si>
    <t>H370202400</t>
  </si>
  <si>
    <t>H344300101</t>
  </si>
  <si>
    <t>H305402500</t>
  </si>
  <si>
    <t>KANCALI MEKANİZMA KOLU</t>
  </si>
  <si>
    <t>L222101601</t>
  </si>
  <si>
    <t>H203022902</t>
  </si>
  <si>
    <t>110011</t>
  </si>
  <si>
    <t>110012</t>
  </si>
  <si>
    <t>110015</t>
  </si>
  <si>
    <t>110050</t>
  </si>
  <si>
    <t>110051</t>
  </si>
  <si>
    <t>110060</t>
  </si>
  <si>
    <t>110110</t>
  </si>
  <si>
    <t>110111</t>
  </si>
  <si>
    <t>1104100</t>
  </si>
  <si>
    <t>1104110</t>
  </si>
  <si>
    <t>1104111</t>
  </si>
  <si>
    <t>1104112</t>
  </si>
  <si>
    <t>1104200</t>
  </si>
  <si>
    <t>1104210</t>
  </si>
  <si>
    <t>1104211</t>
  </si>
  <si>
    <t>1104212</t>
  </si>
  <si>
    <t>EYLÜL</t>
  </si>
  <si>
    <t>H384007101</t>
  </si>
  <si>
    <t>GÖBEK (K.K.)</t>
  </si>
  <si>
    <t>H704000102</t>
  </si>
  <si>
    <t>H384000101</t>
  </si>
  <si>
    <t>H384006001</t>
  </si>
  <si>
    <t>H525210200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</si>
</sst>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8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1"/>
      <name val="Verdana"/>
      <family val="2"/>
      <charset val="162"/>
    </font>
    <font>
      <b/>
      <sz val="12"/>
      <color theme="1"/>
      <name val="Verdana"/>
      <family val="2"/>
      <charset val="162"/>
    </font>
    <font>
      <b/>
      <sz val="10"/>
      <color rgb="FF000000"/>
      <name val="Verdana"/>
      <family val="2"/>
      <charset val="162"/>
    </font>
    <font>
      <sz val="10"/>
      <color rgb="FF000000"/>
      <name val="Verdana"/>
      <family val="2"/>
      <charset val="162"/>
    </font>
    <font>
      <sz val="14"/>
      <color theme="1"/>
      <name val="Calibri"/>
      <family val="2"/>
      <charset val="162"/>
      <scheme val="minor"/>
    </font>
    <font>
      <b/>
      <sz val="9"/>
      <color rgb="FF000000"/>
      <name val="Verdana"/>
      <family val="2"/>
      <charset val="162"/>
    </font>
    <font>
      <b/>
      <sz val="11"/>
      <name val="Verdana"/>
      <family val="2"/>
      <charset val="162"/>
    </font>
    <font>
      <b/>
      <sz val="10"/>
      <color theme="1"/>
      <name val="Verdana"/>
      <family val="2"/>
      <charset val="162"/>
    </font>
    <font>
      <b/>
      <sz val="11"/>
      <color rgb="FFC00000"/>
      <name val="Verdana"/>
      <family val="2"/>
      <charset val="162"/>
    </font>
    <font>
      <sz val="10"/>
      <color theme="1"/>
      <name val="Verdana"/>
      <family val="2"/>
      <charset val="162"/>
    </font>
    <font>
      <sz val="10"/>
      <color theme="1"/>
      <name val="Calibri"/>
      <family val="2"/>
      <charset val="162"/>
      <scheme val="minor"/>
    </font>
    <font>
      <b/>
      <sz val="11"/>
      <color theme="1"/>
      <name val="Verdana"/>
      <family val="2"/>
      <charset val="162"/>
    </font>
    <font>
      <sz val="9"/>
      <color theme="1"/>
      <name val="Verdana"/>
      <family val="2"/>
      <charset val="162"/>
    </font>
    <font>
      <sz val="10"/>
      <color rgb="FFC00000"/>
      <name val="Verdana"/>
      <family val="2"/>
      <charset val="162"/>
    </font>
    <font>
      <b/>
      <sz val="12"/>
      <color rgb="FFC00000"/>
      <name val="Verdana"/>
      <family val="2"/>
      <charset val="162"/>
    </font>
    <font>
      <sz val="12"/>
      <color theme="0"/>
      <name val="Calibri"/>
      <family val="2"/>
      <charset val="162"/>
      <scheme val="minor"/>
    </font>
    <font>
      <b/>
      <sz val="20"/>
      <color rgb="FFC00000"/>
      <name val="Calibri"/>
      <family val="2"/>
      <charset val="162"/>
      <scheme val="minor"/>
    </font>
    <font>
      <b/>
      <sz val="14"/>
      <color rgb="FF000000"/>
      <name val="Calibri"/>
      <family val="2"/>
      <charset val="162"/>
      <scheme val="minor"/>
    </font>
    <font>
      <b/>
      <sz val="22"/>
      <color rgb="FF00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0"/>
      <color theme="0"/>
      <name val="Verdana"/>
      <family val="2"/>
      <charset val="162"/>
    </font>
    <font>
      <b/>
      <sz val="11"/>
      <color rgb="FFC0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 tint="4.9989318521683403E-2"/>
      <name val="Calibri"/>
      <family val="2"/>
      <charset val="162"/>
      <scheme val="minor"/>
    </font>
    <font>
      <sz val="11"/>
      <color theme="1" tint="4.9989318521683403E-2"/>
      <name val="Calibri"/>
      <family val="2"/>
      <charset val="162"/>
      <scheme val="minor"/>
    </font>
    <font>
      <b/>
      <sz val="14"/>
      <color theme="1" tint="4.9989318521683403E-2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 tint="4.9989318521683403E-2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sz val="10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 tint="4.9989318521683403E-2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9"/>
      <color rgb="FFFF0000"/>
      <name val="Calibri"/>
      <family val="2"/>
      <charset val="162"/>
      <scheme val="minor"/>
    </font>
    <font>
      <sz val="9"/>
      <name val="Verdana"/>
      <family val="2"/>
      <charset val="162"/>
    </font>
    <font>
      <sz val="10"/>
      <name val="Verdana"/>
      <family val="2"/>
      <charset val="162"/>
    </font>
    <font>
      <b/>
      <sz val="11"/>
      <color rgb="FFEE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 tint="4.9989318521683403E-2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Verdana"/>
      <family val="2"/>
      <charset val="162"/>
    </font>
    <font>
      <sz val="13"/>
      <color theme="1"/>
      <name val="Calibri"/>
      <family val="2"/>
      <scheme val="minor"/>
    </font>
    <font>
      <sz val="13"/>
      <color theme="1"/>
      <name val="Verdana"/>
      <family val="2"/>
      <charset val="162"/>
    </font>
    <font>
      <sz val="13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name val="Arial"/>
      <family val="2"/>
      <charset val="162"/>
    </font>
    <font>
      <sz val="11"/>
      <color theme="1" tint="4.9989318521683403E-2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 tint="4.9989318521683403E-2"/>
      <name val="Calibri"/>
      <family val="2"/>
      <charset val="162"/>
      <scheme val="minor"/>
    </font>
    <font>
      <sz val="14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sz val="12"/>
      <color rgb="FF000000"/>
      <name val="Calibri"/>
      <family val="2"/>
      <charset val="162"/>
    </font>
    <font>
      <b/>
      <sz val="10"/>
      <color theme="1"/>
      <name val="Arial"/>
      <family val="2"/>
      <charset val="162"/>
    </font>
    <font>
      <sz val="10"/>
      <name val="Arial"/>
    </font>
    <font>
      <b/>
      <sz val="10"/>
      <color theme="1"/>
      <name val="Arial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rgb="FFC00000"/>
        </stop>
        <stop position="0.5">
          <color rgb="FFFF0000"/>
        </stop>
        <stop position="1">
          <color rgb="FFC00000"/>
        </stop>
      </gradientFill>
    </fill>
    <fill>
      <gradientFill degree="90">
        <stop position="0">
          <color theme="0" tint="-0.1490218817712943"/>
        </stop>
        <stop position="0.5">
          <color theme="0" tint="-5.0965910824915313E-2"/>
        </stop>
        <stop position="1">
          <color theme="0" tint="-0.1490218817712943"/>
        </stop>
      </gradientFill>
    </fill>
    <fill>
      <gradientFill degree="90">
        <stop position="0">
          <color rgb="FFFFC000"/>
        </stop>
        <stop position="0.5">
          <color rgb="FFFFFF00"/>
        </stop>
        <stop position="1">
          <color rgb="FFFFC000"/>
        </stop>
      </gradientFill>
    </fill>
    <fill>
      <gradientFill degree="90">
        <stop position="0">
          <color theme="0" tint="-0.34900967436750391"/>
        </stop>
        <stop position="0.5">
          <color theme="0" tint="-5.0965910824915313E-2"/>
        </stop>
        <stop position="1">
          <color theme="0" tint="-0.34900967436750391"/>
        </stop>
      </gradientFill>
    </fill>
    <fill>
      <gradientFill degree="90">
        <stop position="0">
          <color theme="4" tint="-0.25098422193060094"/>
        </stop>
        <stop position="0.5">
          <color theme="4" tint="0.59999389629810485"/>
        </stop>
        <stop position="1">
          <color theme="4" tint="-0.25098422193060094"/>
        </stop>
      </gradientFill>
    </fill>
    <fill>
      <gradientFill degree="90">
        <stop position="0">
          <color theme="4" tint="0.40000610370189521"/>
        </stop>
        <stop position="0.5">
          <color theme="4" tint="0.80001220740379042"/>
        </stop>
        <stop position="1">
          <color theme="4" tint="0.40000610370189521"/>
        </stop>
      </gradientFill>
    </fill>
    <fill>
      <gradientFill degree="90">
        <stop position="0">
          <color theme="5" tint="0.59999389629810485"/>
        </stop>
        <stop position="0.5">
          <color theme="5" tint="0.80001220740379042"/>
        </stop>
        <stop position="1">
          <color theme="5" tint="0.59999389629810485"/>
        </stop>
      </gradientFill>
    </fill>
    <fill>
      <patternFill patternType="solid">
        <fgColor theme="5" tint="0.7999816888943144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13A90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theme="8" tint="-0.249977111117893"/>
      </patternFill>
    </fill>
    <fill>
      <patternFill patternType="solid">
        <fgColor theme="0"/>
        <bgColor theme="8" tint="-0.249977111117893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63" fillId="0" borderId="0"/>
    <xf numFmtId="0" fontId="73" fillId="0" borderId="0"/>
  </cellStyleXfs>
  <cellXfs count="556">
    <xf numFmtId="0" fontId="0" fillId="0" borderId="0" xfId="0"/>
    <xf numFmtId="0" fontId="22" fillId="0" borderId="0" xfId="0" applyFont="1" applyAlignment="1">
      <alignment vertical="center"/>
    </xf>
    <xf numFmtId="10" fontId="0" fillId="0" borderId="0" xfId="42" applyNumberFormat="1" applyFont="1"/>
    <xf numFmtId="0" fontId="25" fillId="0" borderId="0" xfId="0" applyFont="1" applyFill="1" applyBorder="1" applyAlignment="1">
      <alignment horizontal="center" vertical="center" wrapText="1"/>
    </xf>
    <xf numFmtId="0" fontId="22" fillId="0" borderId="0" xfId="0" applyFont="1"/>
    <xf numFmtId="0" fontId="0" fillId="0" borderId="0" xfId="0" applyAlignment="1">
      <alignment wrapText="1"/>
    </xf>
    <xf numFmtId="0" fontId="28" fillId="0" borderId="0" xfId="0" applyFont="1" applyAlignment="1">
      <alignment vertical="center" wrapText="1"/>
    </xf>
    <xf numFmtId="0" fontId="25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 wrapText="1"/>
    </xf>
    <xf numFmtId="2" fontId="26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wrapText="1"/>
    </xf>
    <xf numFmtId="0" fontId="23" fillId="38" borderId="11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left" vertical="center" wrapText="1"/>
    </xf>
    <xf numFmtId="4" fontId="17" fillId="0" borderId="0" xfId="0" applyNumberFormat="1" applyFont="1" applyAlignment="1">
      <alignment horizontal="center" vertical="center"/>
    </xf>
    <xf numFmtId="3" fontId="21" fillId="0" borderId="15" xfId="0" applyNumberFormat="1" applyFont="1" applyFill="1" applyBorder="1" applyAlignment="1" applyProtection="1">
      <alignment horizontal="right" vertical="center" wrapText="1"/>
    </xf>
    <xf numFmtId="164" fontId="20" fillId="37" borderId="16" xfId="0" applyNumberFormat="1" applyFont="1" applyFill="1" applyBorder="1" applyAlignment="1">
      <alignment horizontal="center" vertical="center" wrapText="1"/>
    </xf>
    <xf numFmtId="0" fontId="23" fillId="39" borderId="1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 vertical="center"/>
    </xf>
    <xf numFmtId="1" fontId="18" fillId="38" borderId="0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165" fontId="36" fillId="42" borderId="17" xfId="0" applyNumberFormat="1" applyFont="1" applyFill="1" applyBorder="1" applyAlignment="1">
      <alignment horizontal="center" vertical="center" wrapText="1"/>
    </xf>
    <xf numFmtId="0" fontId="43" fillId="0" borderId="0" xfId="0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 wrapText="1"/>
    </xf>
    <xf numFmtId="164" fontId="43" fillId="34" borderId="0" xfId="0" applyNumberFormat="1" applyFont="1" applyFill="1" applyBorder="1" applyAlignment="1">
      <alignment horizontal="right" vertical="center"/>
    </xf>
    <xf numFmtId="3" fontId="43" fillId="34" borderId="0" xfId="0" applyNumberFormat="1" applyFont="1" applyFill="1" applyBorder="1" applyAlignment="1">
      <alignment horizontal="right" vertical="center"/>
    </xf>
    <xf numFmtId="2" fontId="43" fillId="34" borderId="0" xfId="0" applyNumberFormat="1" applyFont="1" applyFill="1" applyBorder="1" applyAlignment="1">
      <alignment horizontal="right" vertical="center"/>
    </xf>
    <xf numFmtId="1" fontId="43" fillId="34" borderId="0" xfId="0" applyNumberFormat="1" applyFont="1" applyFill="1" applyBorder="1" applyAlignment="1">
      <alignment horizontal="right" vertical="center"/>
    </xf>
    <xf numFmtId="0" fontId="4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40" fillId="44" borderId="19" xfId="0" applyFont="1" applyFill="1" applyBorder="1" applyAlignment="1">
      <alignment horizontal="center" vertical="center"/>
    </xf>
    <xf numFmtId="0" fontId="41" fillId="0" borderId="0" xfId="0" applyFont="1" applyBorder="1" applyAlignment="1">
      <alignment vertical="center"/>
    </xf>
    <xf numFmtId="0" fontId="39" fillId="0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48" fillId="0" borderId="0" xfId="0" applyFont="1" applyFill="1" applyBorder="1" applyAlignment="1">
      <alignment horizontal="left" vertical="center"/>
    </xf>
    <xf numFmtId="0" fontId="48" fillId="34" borderId="0" xfId="0" applyFont="1" applyFill="1" applyBorder="1" applyAlignment="1">
      <alignment horizontal="left" vertical="center" wrapText="1"/>
    </xf>
    <xf numFmtId="0" fontId="49" fillId="44" borderId="0" xfId="0" applyFont="1" applyFill="1" applyBorder="1" applyAlignment="1">
      <alignment horizontal="center" vertical="center" wrapText="1"/>
    </xf>
    <xf numFmtId="0" fontId="49" fillId="44" borderId="18" xfId="0" applyFont="1" applyFill="1" applyBorder="1" applyAlignment="1">
      <alignment horizontal="center" vertical="center" wrapText="1"/>
    </xf>
    <xf numFmtId="2" fontId="42" fillId="46" borderId="0" xfId="0" applyNumberFormat="1" applyFont="1" applyFill="1" applyBorder="1" applyAlignment="1">
      <alignment horizontal="right" vertical="center"/>
    </xf>
    <xf numFmtId="0" fontId="50" fillId="47" borderId="0" xfId="0" applyFont="1" applyFill="1" applyBorder="1" applyAlignment="1">
      <alignment horizontal="left" vertical="center" wrapText="1"/>
    </xf>
    <xf numFmtId="0" fontId="33" fillId="0" borderId="0" xfId="0" applyFont="1" applyFill="1" applyAlignment="1">
      <alignment horizontal="right" vertical="center"/>
    </xf>
    <xf numFmtId="2" fontId="51" fillId="45" borderId="0" xfId="0" applyNumberFormat="1" applyFont="1" applyFill="1" applyBorder="1" applyAlignment="1">
      <alignment vertical="center" wrapText="1"/>
    </xf>
    <xf numFmtId="0" fontId="33" fillId="45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horizontal="left" vertical="center" wrapText="1"/>
    </xf>
    <xf numFmtId="0" fontId="46" fillId="0" borderId="0" xfId="0" applyFont="1" applyFill="1" applyBorder="1" applyAlignment="1">
      <alignment horizontal="left" vertical="center"/>
    </xf>
    <xf numFmtId="1" fontId="28" fillId="0" borderId="0" xfId="0" applyNumberFormat="1" applyFont="1" applyFill="1" applyBorder="1" applyAlignment="1">
      <alignment horizontal="right" vertical="center"/>
    </xf>
    <xf numFmtId="0" fontId="28" fillId="0" borderId="0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52" fillId="0" borderId="0" xfId="0" applyFont="1" applyFill="1" applyAlignment="1">
      <alignment vertical="center"/>
    </xf>
    <xf numFmtId="0" fontId="54" fillId="0" borderId="0" xfId="0" applyFont="1" applyFill="1" applyAlignment="1">
      <alignment horizontal="left" vertical="center"/>
    </xf>
    <xf numFmtId="1" fontId="52" fillId="0" borderId="0" xfId="0" applyNumberFormat="1" applyFont="1" applyFill="1" applyAlignment="1">
      <alignment horizontal="right" vertical="center"/>
    </xf>
    <xf numFmtId="0" fontId="52" fillId="0" borderId="0" xfId="0" applyFont="1" applyFill="1" applyAlignment="1">
      <alignment horizontal="right" vertical="center"/>
    </xf>
    <xf numFmtId="0" fontId="28" fillId="0" borderId="0" xfId="0" applyFont="1" applyAlignment="1">
      <alignment horizontal="right" vertical="center"/>
    </xf>
    <xf numFmtId="1" fontId="43" fillId="49" borderId="0" xfId="0" applyNumberFormat="1" applyFont="1" applyFill="1" applyBorder="1" applyAlignment="1">
      <alignment horizontal="right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/>
    </xf>
    <xf numFmtId="0" fontId="57" fillId="43" borderId="18" xfId="0" applyFont="1" applyFill="1" applyBorder="1" applyAlignment="1">
      <alignment horizontal="center" vertical="center" wrapText="1"/>
    </xf>
    <xf numFmtId="3" fontId="0" fillId="0" borderId="0" xfId="0" applyNumberFormat="1"/>
    <xf numFmtId="164" fontId="23" fillId="40" borderId="11" xfId="0" applyNumberFormat="1" applyFont="1" applyFill="1" applyBorder="1" applyAlignment="1">
      <alignment horizontal="center" vertical="center" wrapText="1"/>
    </xf>
    <xf numFmtId="164" fontId="31" fillId="0" borderId="0" xfId="0" applyNumberFormat="1" applyFont="1" applyFill="1" applyBorder="1" applyAlignment="1">
      <alignment horizontal="center" vertical="center" wrapText="1"/>
    </xf>
    <xf numFmtId="164" fontId="38" fillId="0" borderId="0" xfId="0" applyNumberFormat="1" applyFont="1" applyFill="1" applyBorder="1" applyAlignment="1">
      <alignment horizontal="center" vertical="center" wrapText="1"/>
    </xf>
    <xf numFmtId="2" fontId="23" fillId="40" borderId="11" xfId="0" applyNumberFormat="1" applyFont="1" applyFill="1" applyBorder="1" applyAlignment="1">
      <alignment horizontal="center" vertical="center" wrapText="1"/>
    </xf>
    <xf numFmtId="2" fontId="20" fillId="37" borderId="16" xfId="0" applyNumberFormat="1" applyFont="1" applyFill="1" applyBorder="1" applyAlignment="1">
      <alignment horizontal="center" vertical="center" wrapText="1"/>
    </xf>
    <xf numFmtId="1" fontId="29" fillId="38" borderId="0" xfId="0" applyNumberFormat="1" applyFont="1" applyFill="1" applyBorder="1" applyAlignment="1">
      <alignment horizontal="center" vertical="center" wrapText="1"/>
    </xf>
    <xf numFmtId="4" fontId="18" fillId="0" borderId="0" xfId="0" applyNumberFormat="1" applyFont="1" applyFill="1" applyBorder="1" applyAlignment="1">
      <alignment horizontal="center" wrapText="1"/>
    </xf>
    <xf numFmtId="0" fontId="58" fillId="0" borderId="0" xfId="0" applyFont="1" applyFill="1" applyBorder="1" applyAlignment="1">
      <alignment horizontal="center" vertical="center" wrapText="1"/>
    </xf>
    <xf numFmtId="2" fontId="59" fillId="0" borderId="16" xfId="0" applyNumberFormat="1" applyFont="1" applyFill="1" applyBorder="1" applyAlignment="1">
      <alignment horizontal="center" vertical="center" wrapText="1"/>
    </xf>
    <xf numFmtId="164" fontId="24" fillId="34" borderId="12" xfId="0" applyNumberFormat="1" applyFont="1" applyFill="1" applyBorder="1" applyAlignment="1">
      <alignment horizontal="center" vertical="center" wrapText="1"/>
    </xf>
    <xf numFmtId="164" fontId="32" fillId="37" borderId="12" xfId="0" applyNumberFormat="1" applyFont="1" applyFill="1" applyBorder="1" applyAlignment="1">
      <alignment horizontal="center" vertical="center" wrapText="1"/>
    </xf>
    <xf numFmtId="165" fontId="17" fillId="0" borderId="0" xfId="0" applyNumberFormat="1" applyFont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44" fillId="44" borderId="19" xfId="0" applyFont="1" applyFill="1" applyBorder="1" applyAlignment="1">
      <alignment horizontal="center" vertical="center"/>
    </xf>
    <xf numFmtId="0" fontId="41" fillId="0" borderId="0" xfId="0" applyFont="1" applyFill="1" applyAlignment="1">
      <alignment horizontal="center" vertical="center" wrapText="1"/>
    </xf>
    <xf numFmtId="0" fontId="40" fillId="44" borderId="2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vertical="center"/>
    </xf>
    <xf numFmtId="2" fontId="62" fillId="46" borderId="0" xfId="0" applyNumberFormat="1" applyFont="1" applyFill="1" applyBorder="1" applyAlignment="1">
      <alignment horizontal="right" vertical="center"/>
    </xf>
    <xf numFmtId="2" fontId="42" fillId="46" borderId="0" xfId="42" applyNumberFormat="1" applyFont="1" applyFill="1" applyBorder="1" applyAlignment="1">
      <alignment horizontal="right" vertical="center"/>
    </xf>
    <xf numFmtId="0" fontId="63" fillId="0" borderId="0" xfId="43"/>
    <xf numFmtId="0" fontId="63" fillId="0" borderId="23" xfId="43" applyBorder="1"/>
    <xf numFmtId="4" fontId="63" fillId="0" borderId="0" xfId="43" applyNumberFormat="1" applyFill="1" applyBorder="1"/>
    <xf numFmtId="0" fontId="63" fillId="0" borderId="0" xfId="43" applyBorder="1"/>
    <xf numFmtId="3" fontId="63" fillId="0" borderId="0" xfId="43" applyNumberFormat="1"/>
    <xf numFmtId="0" fontId="67" fillId="0" borderId="0" xfId="43" applyFont="1"/>
    <xf numFmtId="0" fontId="63" fillId="0" borderId="51" xfId="43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31" xfId="0" applyFill="1" applyBorder="1" applyAlignment="1">
      <alignment horizontal="left" vertical="center"/>
    </xf>
    <xf numFmtId="0" fontId="0" fillId="53" borderId="36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17" fillId="54" borderId="56" xfId="0" applyFont="1" applyFill="1" applyBorder="1" applyAlignment="1">
      <alignment vertical="center"/>
    </xf>
    <xf numFmtId="0" fontId="17" fillId="54" borderId="38" xfId="0" applyFont="1" applyFill="1" applyBorder="1" applyAlignment="1">
      <alignment vertical="center"/>
    </xf>
    <xf numFmtId="0" fontId="28" fillId="0" borderId="0" xfId="0" applyFont="1" applyFill="1" applyAlignment="1">
      <alignment horizontal="right" vertical="center"/>
    </xf>
    <xf numFmtId="0" fontId="0" fillId="0" borderId="19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9" xfId="0" applyNumberFormat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19" xfId="0" applyNumberFormat="1" applyBorder="1"/>
    <xf numFmtId="0" fontId="0" fillId="0" borderId="0" xfId="0" applyFill="1" applyBorder="1" applyAlignment="1">
      <alignment horizontal="right" vertical="center"/>
    </xf>
    <xf numFmtId="1" fontId="0" fillId="0" borderId="41" xfId="0" applyNumberFormat="1" applyBorder="1"/>
    <xf numFmtId="1" fontId="0" fillId="0" borderId="53" xfId="0" applyNumberFormat="1" applyBorder="1"/>
    <xf numFmtId="1" fontId="0" fillId="0" borderId="45" xfId="0" applyNumberFormat="1" applyBorder="1"/>
    <xf numFmtId="1" fontId="0" fillId="0" borderId="55" xfId="0" applyNumberFormat="1" applyBorder="1"/>
    <xf numFmtId="1" fontId="0" fillId="0" borderId="32" xfId="0" applyNumberFormat="1" applyBorder="1"/>
    <xf numFmtId="1" fontId="17" fillId="54" borderId="56" xfId="0" applyNumberFormat="1" applyFont="1" applyFill="1" applyBorder="1" applyAlignment="1">
      <alignment vertical="center"/>
    </xf>
    <xf numFmtId="1" fontId="17" fillId="54" borderId="38" xfId="0" applyNumberFormat="1" applyFont="1" applyFill="1" applyBorder="1" applyAlignment="1">
      <alignment vertical="center"/>
    </xf>
    <xf numFmtId="1" fontId="37" fillId="55" borderId="36" xfId="0" applyNumberFormat="1" applyFont="1" applyFill="1" applyBorder="1" applyAlignment="1">
      <alignment vertical="center"/>
    </xf>
    <xf numFmtId="1" fontId="37" fillId="55" borderId="56" xfId="0" applyNumberFormat="1" applyFont="1" applyFill="1" applyBorder="1" applyAlignment="1">
      <alignment vertical="center"/>
    </xf>
    <xf numFmtId="1" fontId="37" fillId="55" borderId="38" xfId="0" applyNumberFormat="1" applyFont="1" applyFill="1" applyBorder="1" applyAlignment="1">
      <alignment vertical="center"/>
    </xf>
    <xf numFmtId="1" fontId="0" fillId="0" borderId="40" xfId="0" applyNumberFormat="1" applyBorder="1"/>
    <xf numFmtId="1" fontId="0" fillId="0" borderId="47" xfId="0" applyNumberFormat="1" applyBorder="1"/>
    <xf numFmtId="1" fontId="0" fillId="0" borderId="50" xfId="0" applyNumberFormat="1" applyBorder="1"/>
    <xf numFmtId="1" fontId="0" fillId="0" borderId="48" xfId="0" applyNumberFormat="1" applyBorder="1"/>
    <xf numFmtId="0" fontId="16" fillId="0" borderId="57" xfId="0" applyFont="1" applyFill="1" applyBorder="1" applyAlignment="1">
      <alignment horizontal="left" vertical="center"/>
    </xf>
    <xf numFmtId="1" fontId="0" fillId="0" borderId="58" xfId="0" applyNumberFormat="1" applyBorder="1" applyAlignment="1">
      <alignment horizontal="center"/>
    </xf>
    <xf numFmtId="1" fontId="0" fillId="0" borderId="59" xfId="0" applyNumberForma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8" xfId="0" applyFill="1" applyBorder="1" applyAlignment="1">
      <alignment horizontal="left" vertical="center"/>
    </xf>
    <xf numFmtId="0" fontId="0" fillId="0" borderId="59" xfId="0" applyFill="1" applyBorder="1" applyAlignment="1">
      <alignment horizontal="left" vertical="center"/>
    </xf>
    <xf numFmtId="1" fontId="0" fillId="0" borderId="31" xfId="0" applyNumberFormat="1" applyBorder="1"/>
    <xf numFmtId="0" fontId="0" fillId="0" borderId="34" xfId="0" applyBorder="1"/>
    <xf numFmtId="1" fontId="0" fillId="0" borderId="35" xfId="0" applyNumberFormat="1" applyBorder="1" applyAlignment="1">
      <alignment horizontal="center"/>
    </xf>
    <xf numFmtId="9" fontId="0" fillId="0" borderId="0" xfId="42" applyFont="1" applyAlignment="1">
      <alignment vertical="center"/>
    </xf>
    <xf numFmtId="0" fontId="0" fillId="0" borderId="26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28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61" xfId="0" applyFont="1" applyFill="1" applyBorder="1" applyAlignment="1">
      <alignment horizontal="right" vertical="center"/>
    </xf>
    <xf numFmtId="0" fontId="0" fillId="0" borderId="51" xfId="0" applyFont="1" applyFill="1" applyBorder="1" applyAlignment="1">
      <alignment horizontal="right" vertical="center"/>
    </xf>
    <xf numFmtId="0" fontId="0" fillId="0" borderId="0" xfId="0"/>
    <xf numFmtId="3" fontId="0" fillId="0" borderId="62" xfId="0" applyNumberFormat="1" applyFont="1" applyFill="1" applyBorder="1" applyAlignment="1">
      <alignment horizontal="right" vertical="center"/>
    </xf>
    <xf numFmtId="1" fontId="0" fillId="0" borderId="52" xfId="0" applyNumberFormat="1" applyFont="1" applyFill="1" applyBorder="1" applyAlignment="1">
      <alignment horizontal="right" vertical="center"/>
    </xf>
    <xf numFmtId="1" fontId="0" fillId="0" borderId="25" xfId="0" applyNumberFormat="1" applyFont="1" applyFill="1" applyBorder="1" applyAlignment="1">
      <alignment horizontal="right" vertical="center"/>
    </xf>
    <xf numFmtId="0" fontId="61" fillId="0" borderId="28" xfId="0" applyFont="1" applyFill="1" applyBorder="1" applyAlignment="1">
      <alignment horizontal="right" vertical="center"/>
    </xf>
    <xf numFmtId="0" fontId="61" fillId="0" borderId="0" xfId="0" applyFont="1" applyFill="1" applyBorder="1" applyAlignment="1">
      <alignment horizontal="right" vertical="center"/>
    </xf>
    <xf numFmtId="1" fontId="61" fillId="0" borderId="52" xfId="0" applyNumberFormat="1" applyFont="1" applyFill="1" applyBorder="1" applyAlignment="1">
      <alignment horizontal="right" vertical="center"/>
    </xf>
    <xf numFmtId="0" fontId="0" fillId="0" borderId="23" xfId="0" applyNumberFormat="1" applyBorder="1" applyAlignment="1">
      <alignment horizontal="center"/>
    </xf>
    <xf numFmtId="0" fontId="68" fillId="50" borderId="36" xfId="43" applyFont="1" applyFill="1" applyBorder="1"/>
    <xf numFmtId="0" fontId="68" fillId="50" borderId="40" xfId="43" applyFont="1" applyFill="1" applyBorder="1"/>
    <xf numFmtId="0" fontId="68" fillId="50" borderId="47" xfId="43" applyFont="1" applyFill="1" applyBorder="1"/>
    <xf numFmtId="0" fontId="68" fillId="0" borderId="22" xfId="43" applyFont="1" applyBorder="1" applyAlignment="1">
      <alignment horizontal="center"/>
    </xf>
    <xf numFmtId="1" fontId="68" fillId="0" borderId="23" xfId="43" applyNumberFormat="1" applyFont="1" applyBorder="1" applyAlignment="1">
      <alignment horizontal="center"/>
    </xf>
    <xf numFmtId="0" fontId="68" fillId="0" borderId="0" xfId="43" applyFont="1" applyBorder="1"/>
    <xf numFmtId="4" fontId="68" fillId="0" borderId="0" xfId="43" applyNumberFormat="1" applyFont="1" applyBorder="1"/>
    <xf numFmtId="0" fontId="69" fillId="0" borderId="31" xfId="43" applyFont="1" applyBorder="1"/>
    <xf numFmtId="0" fontId="69" fillId="0" borderId="32" xfId="43" applyFont="1" applyBorder="1"/>
    <xf numFmtId="0" fontId="69" fillId="0" borderId="33" xfId="43" applyFont="1" applyBorder="1"/>
    <xf numFmtId="0" fontId="69" fillId="0" borderId="34" xfId="43" applyFont="1" applyBorder="1"/>
    <xf numFmtId="0" fontId="69" fillId="0" borderId="35" xfId="43" applyFont="1" applyBorder="1"/>
    <xf numFmtId="0" fontId="68" fillId="0" borderId="37" xfId="43" applyFont="1" applyBorder="1"/>
    <xf numFmtId="0" fontId="68" fillId="0" borderId="36" xfId="43" applyFont="1" applyBorder="1"/>
    <xf numFmtId="0" fontId="68" fillId="43" borderId="38" xfId="43" applyFont="1" applyFill="1" applyBorder="1"/>
    <xf numFmtId="166" fontId="68" fillId="43" borderId="38" xfId="43" applyNumberFormat="1" applyFont="1" applyFill="1" applyBorder="1"/>
    <xf numFmtId="3" fontId="68" fillId="0" borderId="36" xfId="43" applyNumberFormat="1" applyFont="1" applyBorder="1"/>
    <xf numFmtId="0" fontId="68" fillId="0" borderId="36" xfId="43" applyFont="1" applyFill="1" applyBorder="1"/>
    <xf numFmtId="0" fontId="68" fillId="0" borderId="39" xfId="43" applyFont="1" applyFill="1" applyBorder="1"/>
    <xf numFmtId="0" fontId="68" fillId="0" borderId="22" xfId="43" applyFont="1" applyBorder="1"/>
    <xf numFmtId="0" fontId="68" fillId="0" borderId="40" xfId="43" applyFont="1" applyBorder="1"/>
    <xf numFmtId="0" fontId="68" fillId="43" borderId="41" xfId="43" applyFont="1" applyFill="1" applyBorder="1"/>
    <xf numFmtId="3" fontId="68" fillId="0" borderId="40" xfId="43" applyNumberFormat="1" applyFont="1" applyBorder="1"/>
    <xf numFmtId="0" fontId="68" fillId="0" borderId="40" xfId="43" applyFont="1" applyFill="1" applyBorder="1"/>
    <xf numFmtId="0" fontId="68" fillId="0" borderId="23" xfId="43" applyFont="1" applyFill="1" applyBorder="1"/>
    <xf numFmtId="0" fontId="68" fillId="43" borderId="42" xfId="43" applyFont="1" applyFill="1" applyBorder="1"/>
    <xf numFmtId="0" fontId="68" fillId="0" borderId="41" xfId="43" applyFont="1" applyFill="1" applyBorder="1"/>
    <xf numFmtId="3" fontId="68" fillId="0" borderId="40" xfId="43" applyNumberFormat="1" applyFont="1" applyFill="1" applyBorder="1"/>
    <xf numFmtId="0" fontId="68" fillId="0" borderId="23" xfId="43" applyFont="1" applyBorder="1"/>
    <xf numFmtId="0" fontId="68" fillId="51" borderId="22" xfId="43" applyFont="1" applyFill="1" applyBorder="1"/>
    <xf numFmtId="0" fontId="68" fillId="52" borderId="41" xfId="43" applyFont="1" applyFill="1" applyBorder="1"/>
    <xf numFmtId="0" fontId="68" fillId="51" borderId="43" xfId="43" applyFont="1" applyFill="1" applyBorder="1"/>
    <xf numFmtId="0" fontId="68" fillId="0" borderId="44" xfId="43" applyFont="1" applyFill="1" applyBorder="1"/>
    <xf numFmtId="0" fontId="68" fillId="0" borderId="44" xfId="43" applyFont="1" applyBorder="1"/>
    <xf numFmtId="0" fontId="68" fillId="52" borderId="45" xfId="43" applyFont="1" applyFill="1" applyBorder="1"/>
    <xf numFmtId="3" fontId="68" fillId="0" borderId="44" xfId="43" applyNumberFormat="1" applyFont="1" applyBorder="1"/>
    <xf numFmtId="0" fontId="68" fillId="0" borderId="46" xfId="43" applyFont="1" applyFill="1" applyBorder="1"/>
    <xf numFmtId="0" fontId="68" fillId="51" borderId="48" xfId="43" applyFont="1" applyFill="1" applyBorder="1"/>
    <xf numFmtId="0" fontId="68" fillId="0" borderId="47" xfId="43" applyFont="1" applyFill="1" applyBorder="1"/>
    <xf numFmtId="0" fontId="68" fillId="52" borderId="48" xfId="43" applyFont="1" applyFill="1" applyBorder="1"/>
    <xf numFmtId="0" fontId="68" fillId="0" borderId="49" xfId="43" applyFont="1" applyBorder="1"/>
    <xf numFmtId="0" fontId="68" fillId="0" borderId="50" xfId="43" applyFont="1" applyBorder="1"/>
    <xf numFmtId="4" fontId="68" fillId="0" borderId="50" xfId="43" applyNumberFormat="1" applyFont="1" applyBorder="1"/>
    <xf numFmtId="0" fontId="68" fillId="52" borderId="50" xfId="43" applyFont="1" applyFill="1" applyBorder="1"/>
    <xf numFmtId="1" fontId="70" fillId="0" borderId="63" xfId="0" applyNumberFormat="1" applyFont="1" applyFill="1" applyBorder="1"/>
    <xf numFmtId="1" fontId="68" fillId="43" borderId="38" xfId="43" applyNumberFormat="1" applyFont="1" applyFill="1" applyBorder="1"/>
    <xf numFmtId="1" fontId="68" fillId="52" borderId="41" xfId="43" applyNumberFormat="1" applyFont="1" applyFill="1" applyBorder="1"/>
    <xf numFmtId="1" fontId="68" fillId="0" borderId="40" xfId="43" applyNumberFormat="1" applyFont="1" applyBorder="1"/>
    <xf numFmtId="0" fontId="0" fillId="0" borderId="63" xfId="0" applyNumberFormat="1" applyBorder="1" applyAlignment="1">
      <alignment horizontal="center"/>
    </xf>
    <xf numFmtId="3" fontId="63" fillId="0" borderId="0" xfId="43" applyNumberFormat="1" applyBorder="1"/>
    <xf numFmtId="0" fontId="63" fillId="43" borderId="23" xfId="43" applyFill="1" applyBorder="1"/>
    <xf numFmtId="1" fontId="28" fillId="0" borderId="0" xfId="0" applyNumberFormat="1" applyFont="1" applyFill="1" applyAlignment="1">
      <alignment horizontal="right" vertical="center"/>
    </xf>
    <xf numFmtId="1" fontId="37" fillId="43" borderId="63" xfId="0" applyNumberFormat="1" applyFont="1" applyFill="1" applyBorder="1" applyAlignment="1">
      <alignment horizontal="right" vertical="center"/>
    </xf>
    <xf numFmtId="0" fontId="46" fillId="0" borderId="64" xfId="0" applyFont="1" applyFill="1" applyBorder="1" applyAlignment="1">
      <alignment horizontal="left" vertical="center" wrapText="1"/>
    </xf>
    <xf numFmtId="0" fontId="46" fillId="43" borderId="64" xfId="0" applyFont="1" applyFill="1" applyBorder="1" applyAlignment="1">
      <alignment horizontal="left" vertical="center" wrapText="1"/>
    </xf>
    <xf numFmtId="0" fontId="43" fillId="0" borderId="26" xfId="0" applyFont="1" applyBorder="1" applyAlignment="1">
      <alignment vertical="center"/>
    </xf>
    <xf numFmtId="0" fontId="43" fillId="0" borderId="24" xfId="0" applyFont="1" applyBorder="1" applyAlignment="1">
      <alignment vertical="center"/>
    </xf>
    <xf numFmtId="0" fontId="43" fillId="0" borderId="24" xfId="0" applyFont="1" applyFill="1" applyBorder="1" applyAlignment="1">
      <alignment vertical="center"/>
    </xf>
    <xf numFmtId="0" fontId="43" fillId="0" borderId="24" xfId="0" applyFont="1" applyFill="1" applyBorder="1" applyAlignment="1">
      <alignment vertical="center" wrapText="1"/>
    </xf>
    <xf numFmtId="2" fontId="51" fillId="45" borderId="24" xfId="0" applyNumberFormat="1" applyFont="1" applyFill="1" applyBorder="1" applyAlignment="1">
      <alignment vertical="center" wrapText="1"/>
    </xf>
    <xf numFmtId="2" fontId="42" fillId="46" borderId="24" xfId="0" applyNumberFormat="1" applyFont="1" applyFill="1" applyBorder="1" applyAlignment="1">
      <alignment horizontal="right" vertical="center"/>
    </xf>
    <xf numFmtId="164" fontId="43" fillId="34" borderId="24" xfId="0" applyNumberFormat="1" applyFont="1" applyFill="1" applyBorder="1" applyAlignment="1">
      <alignment horizontal="right" vertical="center"/>
    </xf>
    <xf numFmtId="3" fontId="43" fillId="34" borderId="24" xfId="0" applyNumberFormat="1" applyFont="1" applyFill="1" applyBorder="1" applyAlignment="1">
      <alignment horizontal="right" vertical="center"/>
    </xf>
    <xf numFmtId="2" fontId="43" fillId="34" borderId="24" xfId="0" applyNumberFormat="1" applyFont="1" applyFill="1" applyBorder="1" applyAlignment="1">
      <alignment horizontal="right" vertical="center"/>
    </xf>
    <xf numFmtId="1" fontId="43" fillId="49" borderId="24" xfId="0" applyNumberFormat="1" applyFont="1" applyFill="1" applyBorder="1" applyAlignment="1">
      <alignment horizontal="right" vertical="center"/>
    </xf>
    <xf numFmtId="1" fontId="43" fillId="34" borderId="24" xfId="0" applyNumberFormat="1" applyFont="1" applyFill="1" applyBorder="1" applyAlignment="1">
      <alignment horizontal="right" vertical="center"/>
    </xf>
    <xf numFmtId="0" fontId="0" fillId="0" borderId="56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1" fontId="37" fillId="43" borderId="56" xfId="0" applyNumberFormat="1" applyFont="1" applyFill="1" applyBorder="1" applyAlignment="1">
      <alignment horizontal="right" vertical="center"/>
    </xf>
    <xf numFmtId="1" fontId="37" fillId="0" borderId="38" xfId="0" applyNumberFormat="1" applyFont="1" applyFill="1" applyBorder="1" applyAlignment="1">
      <alignment horizontal="right" vertical="center"/>
    </xf>
    <xf numFmtId="0" fontId="43" fillId="0" borderId="28" xfId="0" applyFont="1" applyBorder="1" applyAlignment="1">
      <alignment vertical="center"/>
    </xf>
    <xf numFmtId="1" fontId="37" fillId="0" borderId="41" xfId="0" applyNumberFormat="1" applyFont="1" applyFill="1" applyBorder="1" applyAlignment="1">
      <alignment horizontal="right" vertical="center"/>
    </xf>
    <xf numFmtId="0" fontId="43" fillId="0" borderId="61" xfId="0" applyFont="1" applyBorder="1" applyAlignment="1">
      <alignment vertical="center"/>
    </xf>
    <xf numFmtId="0" fontId="43" fillId="0" borderId="51" xfId="0" applyFont="1" applyBorder="1" applyAlignment="1">
      <alignment vertical="center"/>
    </xf>
    <xf numFmtId="0" fontId="43" fillId="0" borderId="51" xfId="0" applyFont="1" applyFill="1" applyBorder="1" applyAlignment="1">
      <alignment vertical="center"/>
    </xf>
    <xf numFmtId="0" fontId="43" fillId="0" borderId="51" xfId="0" applyFont="1" applyFill="1" applyBorder="1" applyAlignment="1">
      <alignment vertical="center" wrapText="1"/>
    </xf>
    <xf numFmtId="2" fontId="51" fillId="45" borderId="51" xfId="0" applyNumberFormat="1" applyFont="1" applyFill="1" applyBorder="1" applyAlignment="1">
      <alignment vertical="center" wrapText="1"/>
    </xf>
    <xf numFmtId="2" fontId="42" fillId="46" borderId="51" xfId="0" applyNumberFormat="1" applyFont="1" applyFill="1" applyBorder="1" applyAlignment="1">
      <alignment horizontal="right" vertical="center"/>
    </xf>
    <xf numFmtId="164" fontId="43" fillId="34" borderId="51" xfId="0" applyNumberFormat="1" applyFont="1" applyFill="1" applyBorder="1" applyAlignment="1">
      <alignment horizontal="right" vertical="center"/>
    </xf>
    <xf numFmtId="3" fontId="43" fillId="34" borderId="51" xfId="0" applyNumberFormat="1" applyFont="1" applyFill="1" applyBorder="1" applyAlignment="1">
      <alignment horizontal="right" vertical="center"/>
    </xf>
    <xf numFmtId="2" fontId="43" fillId="34" borderId="51" xfId="0" applyNumberFormat="1" applyFont="1" applyFill="1" applyBorder="1" applyAlignment="1">
      <alignment horizontal="right" vertical="center"/>
    </xf>
    <xf numFmtId="1" fontId="43" fillId="49" borderId="51" xfId="0" applyNumberFormat="1" applyFont="1" applyFill="1" applyBorder="1" applyAlignment="1">
      <alignment horizontal="right" vertical="center"/>
    </xf>
    <xf numFmtId="1" fontId="43" fillId="34" borderId="51" xfId="0" applyNumberFormat="1" applyFont="1" applyFill="1" applyBorder="1" applyAlignment="1">
      <alignment horizontal="right" vertical="center"/>
    </xf>
    <xf numFmtId="0" fontId="0" fillId="0" borderId="50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1" fontId="37" fillId="43" borderId="50" xfId="0" applyNumberFormat="1" applyFont="1" applyFill="1" applyBorder="1" applyAlignment="1">
      <alignment horizontal="right" vertical="center"/>
    </xf>
    <xf numFmtId="1" fontId="37" fillId="0" borderId="48" xfId="0" applyNumberFormat="1" applyFont="1" applyFill="1" applyBorder="1" applyAlignment="1">
      <alignment horizontal="right" vertical="center"/>
    </xf>
    <xf numFmtId="0" fontId="63" fillId="0" borderId="24" xfId="43" applyBorder="1"/>
    <xf numFmtId="0" fontId="65" fillId="0" borderId="24" xfId="43" applyFont="1" applyBorder="1" applyAlignment="1">
      <alignment vertical="center"/>
    </xf>
    <xf numFmtId="0" fontId="63" fillId="0" borderId="63" xfId="43" applyBorder="1"/>
    <xf numFmtId="4" fontId="63" fillId="0" borderId="63" xfId="43" applyNumberFormat="1" applyBorder="1"/>
    <xf numFmtId="3" fontId="63" fillId="0" borderId="63" xfId="43" applyNumberFormat="1" applyBorder="1"/>
    <xf numFmtId="0" fontId="63" fillId="0" borderId="41" xfId="43" applyBorder="1"/>
    <xf numFmtId="4" fontId="63" fillId="0" borderId="0" xfId="43" applyNumberFormat="1" applyBorder="1"/>
    <xf numFmtId="0" fontId="67" fillId="0" borderId="63" xfId="43" applyFont="1" applyBorder="1"/>
    <xf numFmtId="4" fontId="68" fillId="43" borderId="63" xfId="43" applyNumberFormat="1" applyFont="1" applyFill="1" applyBorder="1"/>
    <xf numFmtId="0" fontId="68" fillId="0" borderId="63" xfId="43" applyFont="1" applyBorder="1"/>
    <xf numFmtId="0" fontId="68" fillId="50" borderId="63" xfId="43" applyFont="1" applyFill="1" applyBorder="1"/>
    <xf numFmtId="1" fontId="68" fillId="0" borderId="63" xfId="43" applyNumberFormat="1" applyFont="1" applyBorder="1"/>
    <xf numFmtId="4" fontId="68" fillId="0" borderId="63" xfId="43" applyNumberFormat="1" applyFont="1" applyFill="1" applyBorder="1"/>
    <xf numFmtId="4" fontId="68" fillId="0" borderId="63" xfId="43" applyNumberFormat="1" applyFont="1" applyBorder="1"/>
    <xf numFmtId="0" fontId="67" fillId="0" borderId="0" xfId="43" applyFont="1" applyBorder="1"/>
    <xf numFmtId="3" fontId="67" fillId="0" borderId="63" xfId="43" applyNumberFormat="1" applyFont="1" applyBorder="1"/>
    <xf numFmtId="0" fontId="67" fillId="0" borderId="41" xfId="43" applyFont="1" applyBorder="1"/>
    <xf numFmtId="0" fontId="68" fillId="0" borderId="63" xfId="43" applyFont="1" applyBorder="1" applyAlignment="1">
      <alignment wrapText="1"/>
    </xf>
    <xf numFmtId="4" fontId="68" fillId="0" borderId="63" xfId="43" applyNumberFormat="1" applyFont="1" applyBorder="1" applyAlignment="1">
      <alignment wrapText="1"/>
    </xf>
    <xf numFmtId="0" fontId="68" fillId="0" borderId="0" xfId="43" applyFont="1" applyBorder="1" applyAlignment="1">
      <alignment wrapText="1"/>
    </xf>
    <xf numFmtId="1" fontId="68" fillId="43" borderId="63" xfId="43" applyNumberFormat="1" applyFont="1" applyFill="1" applyBorder="1"/>
    <xf numFmtId="0" fontId="68" fillId="43" borderId="63" xfId="43" applyFont="1" applyFill="1" applyBorder="1"/>
    <xf numFmtId="166" fontId="68" fillId="43" borderId="63" xfId="43" applyNumberFormat="1" applyFont="1" applyFill="1" applyBorder="1"/>
    <xf numFmtId="164" fontId="68" fillId="43" borderId="63" xfId="43" applyNumberFormat="1" applyFont="1" applyFill="1" applyBorder="1"/>
    <xf numFmtId="0" fontId="68" fillId="0" borderId="63" xfId="43" applyFont="1" applyFill="1" applyBorder="1"/>
    <xf numFmtId="0" fontId="68" fillId="52" borderId="63" xfId="43" applyFont="1" applyFill="1" applyBorder="1"/>
    <xf numFmtId="0" fontId="63" fillId="0" borderId="52" xfId="43" applyBorder="1"/>
    <xf numFmtId="0" fontId="64" fillId="0" borderId="28" xfId="43" applyFont="1" applyBorder="1" applyAlignment="1">
      <alignment vertical="center" textRotation="255"/>
    </xf>
    <xf numFmtId="0" fontId="64" fillId="0" borderId="61" xfId="43" applyFont="1" applyBorder="1" applyAlignment="1">
      <alignment vertical="center" textRotation="255"/>
    </xf>
    <xf numFmtId="3" fontId="63" fillId="0" borderId="52" xfId="43" applyNumberFormat="1" applyBorder="1"/>
    <xf numFmtId="3" fontId="63" fillId="43" borderId="41" xfId="43" applyNumberFormat="1" applyFill="1" applyBorder="1"/>
    <xf numFmtId="3" fontId="63" fillId="0" borderId="62" xfId="43" applyNumberFormat="1" applyBorder="1"/>
    <xf numFmtId="3" fontId="68" fillId="0" borderId="63" xfId="43" applyNumberFormat="1" applyFont="1" applyBorder="1"/>
    <xf numFmtId="0" fontId="63" fillId="43" borderId="63" xfId="43" applyFill="1" applyBorder="1"/>
    <xf numFmtId="0" fontId="63" fillId="0" borderId="63" xfId="43" applyFill="1" applyBorder="1"/>
    <xf numFmtId="1" fontId="68" fillId="43" borderId="41" xfId="43" applyNumberFormat="1" applyFont="1" applyFill="1" applyBorder="1"/>
    <xf numFmtId="3" fontId="63" fillId="0" borderId="25" xfId="43" applyNumberFormat="1" applyBorder="1"/>
    <xf numFmtId="3" fontId="68" fillId="43" borderId="48" xfId="43" applyNumberFormat="1" applyFont="1" applyFill="1" applyBorder="1"/>
    <xf numFmtId="3" fontId="63" fillId="43" borderId="63" xfId="43" applyNumberFormat="1" applyFill="1" applyBorder="1"/>
    <xf numFmtId="0" fontId="63" fillId="0" borderId="24" xfId="43" applyBorder="1" applyAlignment="1">
      <alignment horizontal="left"/>
    </xf>
    <xf numFmtId="0" fontId="63" fillId="0" borderId="0" xfId="43" applyBorder="1" applyAlignment="1">
      <alignment horizontal="left"/>
    </xf>
    <xf numFmtId="0" fontId="68" fillId="0" borderId="0" xfId="43" applyFont="1" applyBorder="1" applyAlignment="1">
      <alignment horizontal="left"/>
    </xf>
    <xf numFmtId="0" fontId="68" fillId="0" borderId="63" xfId="43" applyFont="1" applyBorder="1" applyAlignment="1">
      <alignment horizontal="left"/>
    </xf>
    <xf numFmtId="0" fontId="69" fillId="0" borderId="33" xfId="43" applyFont="1" applyBorder="1" applyAlignment="1">
      <alignment horizontal="left"/>
    </xf>
    <xf numFmtId="0" fontId="68" fillId="0" borderId="36" xfId="43" applyFont="1" applyBorder="1" applyAlignment="1">
      <alignment horizontal="left"/>
    </xf>
    <xf numFmtId="0" fontId="68" fillId="0" borderId="40" xfId="43" applyFont="1" applyBorder="1" applyAlignment="1">
      <alignment horizontal="left"/>
    </xf>
    <xf numFmtId="0" fontId="68" fillId="0" borderId="40" xfId="43" applyFont="1" applyFill="1" applyBorder="1" applyAlignment="1">
      <alignment horizontal="left"/>
    </xf>
    <xf numFmtId="0" fontId="68" fillId="0" borderId="44" xfId="43" applyFont="1" applyBorder="1" applyAlignment="1">
      <alignment horizontal="left"/>
    </xf>
    <xf numFmtId="0" fontId="68" fillId="0" borderId="47" xfId="43" applyFont="1" applyFill="1" applyBorder="1" applyAlignment="1">
      <alignment horizontal="left"/>
    </xf>
    <xf numFmtId="0" fontId="63" fillId="0" borderId="51" xfId="43" applyBorder="1" applyAlignment="1">
      <alignment horizontal="left"/>
    </xf>
    <xf numFmtId="3" fontId="68" fillId="0" borderId="63" xfId="43" applyNumberFormat="1" applyFont="1" applyBorder="1" applyAlignment="1">
      <alignment horizontal="left"/>
    </xf>
    <xf numFmtId="1" fontId="68" fillId="0" borderId="36" xfId="43" applyNumberFormat="1" applyFont="1" applyBorder="1" applyAlignment="1">
      <alignment horizontal="left"/>
    </xf>
    <xf numFmtId="1" fontId="68" fillId="0" borderId="40" xfId="43" applyNumberFormat="1" applyFont="1" applyBorder="1" applyAlignment="1">
      <alignment horizontal="left"/>
    </xf>
    <xf numFmtId="1" fontId="68" fillId="0" borderId="40" xfId="43" applyNumberFormat="1" applyFont="1" applyFill="1" applyBorder="1" applyAlignment="1">
      <alignment horizontal="left"/>
    </xf>
    <xf numFmtId="1" fontId="68" fillId="0" borderId="44" xfId="43" applyNumberFormat="1" applyFont="1" applyBorder="1" applyAlignment="1">
      <alignment horizontal="left"/>
    </xf>
    <xf numFmtId="0" fontId="63" fillId="0" borderId="0" xfId="43" applyAlignment="1">
      <alignment horizontal="left"/>
    </xf>
    <xf numFmtId="4" fontId="63" fillId="0" borderId="0" xfId="43" applyNumberFormat="1"/>
    <xf numFmtId="0" fontId="0" fillId="0" borderId="63" xfId="0" applyBorder="1"/>
    <xf numFmtId="4" fontId="0" fillId="0" borderId="63" xfId="0" applyNumberFormat="1" applyBorder="1"/>
    <xf numFmtId="1" fontId="0" fillId="43" borderId="63" xfId="0" applyNumberFormat="1" applyFont="1" applyFill="1" applyBorder="1" applyAlignment="1">
      <alignment horizontal="right" vertical="center"/>
    </xf>
    <xf numFmtId="0" fontId="0" fillId="43" borderId="63" xfId="0" applyFont="1" applyFill="1" applyBorder="1" applyAlignment="1">
      <alignment horizontal="right" vertical="center"/>
    </xf>
    <xf numFmtId="3" fontId="68" fillId="0" borderId="47" xfId="43" applyNumberFormat="1" applyFont="1" applyFill="1" applyBorder="1"/>
    <xf numFmtId="1" fontId="68" fillId="0" borderId="41" xfId="43" applyNumberFormat="1" applyFont="1" applyFill="1" applyBorder="1"/>
    <xf numFmtId="1" fontId="68" fillId="52" borderId="45" xfId="43" applyNumberFormat="1" applyFont="1" applyFill="1" applyBorder="1"/>
    <xf numFmtId="1" fontId="68" fillId="52" borderId="48" xfId="43" applyNumberFormat="1" applyFont="1" applyFill="1" applyBorder="1"/>
    <xf numFmtId="1" fontId="63" fillId="0" borderId="0" xfId="43" applyNumberFormat="1" applyBorder="1" applyAlignment="1">
      <alignment horizontal="left"/>
    </xf>
    <xf numFmtId="0" fontId="55" fillId="0" borderId="26" xfId="0" applyFont="1" applyFill="1" applyBorder="1" applyAlignment="1">
      <alignment vertical="center"/>
    </xf>
    <xf numFmtId="0" fontId="56" fillId="45" borderId="24" xfId="0" applyFont="1" applyFill="1" applyBorder="1" applyAlignment="1">
      <alignment horizontal="left" vertical="center"/>
    </xf>
    <xf numFmtId="1" fontId="0" fillId="43" borderId="56" xfId="0" applyNumberFormat="1" applyFont="1" applyFill="1" applyBorder="1" applyAlignment="1">
      <alignment horizontal="right" vertical="center"/>
    </xf>
    <xf numFmtId="0" fontId="55" fillId="0" borderId="28" xfId="0" applyFont="1" applyFill="1" applyBorder="1" applyAlignment="1">
      <alignment vertical="center"/>
    </xf>
    <xf numFmtId="0" fontId="56" fillId="45" borderId="0" xfId="0" applyFont="1" applyFill="1" applyBorder="1" applyAlignment="1">
      <alignment horizontal="left" vertical="center"/>
    </xf>
    <xf numFmtId="0" fontId="55" fillId="0" borderId="61" xfId="0" applyFont="1" applyFill="1" applyBorder="1" applyAlignment="1">
      <alignment vertical="center"/>
    </xf>
    <xf numFmtId="0" fontId="56" fillId="45" borderId="51" xfId="0" applyFont="1" applyFill="1" applyBorder="1" applyAlignment="1">
      <alignment horizontal="left" vertical="center"/>
    </xf>
    <xf numFmtId="0" fontId="0" fillId="43" borderId="50" xfId="0" applyFont="1" applyFill="1" applyBorder="1" applyAlignment="1">
      <alignment horizontal="right" vertical="center"/>
    </xf>
    <xf numFmtId="1" fontId="0" fillId="0" borderId="62" xfId="0" applyNumberFormat="1" applyFont="1" applyFill="1" applyBorder="1" applyAlignment="1">
      <alignment horizontal="right" vertical="center"/>
    </xf>
    <xf numFmtId="3" fontId="43" fillId="43" borderId="24" xfId="0" applyNumberFormat="1" applyFont="1" applyFill="1" applyBorder="1" applyAlignment="1">
      <alignment horizontal="right" vertical="center"/>
    </xf>
    <xf numFmtId="1" fontId="0" fillId="0" borderId="56" xfId="0" applyNumberFormat="1" applyBorder="1" applyAlignment="1">
      <alignment horizontal="center"/>
    </xf>
    <xf numFmtId="1" fontId="0" fillId="0" borderId="63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0" fontId="0" fillId="0" borderId="53" xfId="0" applyNumberFormat="1" applyBorder="1" applyAlignment="1">
      <alignment horizontal="center"/>
    </xf>
    <xf numFmtId="0" fontId="0" fillId="0" borderId="46" xfId="0" applyNumberFormat="1" applyBorder="1" applyAlignment="1">
      <alignment horizontal="center"/>
    </xf>
    <xf numFmtId="1" fontId="37" fillId="43" borderId="53" xfId="0" applyNumberFormat="1" applyFont="1" applyFill="1" applyBorder="1" applyAlignment="1">
      <alignment horizontal="right" vertical="center"/>
    </xf>
    <xf numFmtId="1" fontId="37" fillId="0" borderId="45" xfId="0" applyNumberFormat="1" applyFont="1" applyFill="1" applyBorder="1" applyAlignment="1">
      <alignment horizontal="right" vertical="center"/>
    </xf>
    <xf numFmtId="49" fontId="74" fillId="0" borderId="65" xfId="44" applyNumberFormat="1" applyFont="1" applyFill="1" applyBorder="1" applyAlignment="1">
      <alignment horizontal="left"/>
    </xf>
    <xf numFmtId="1" fontId="74" fillId="0" borderId="65" xfId="44" applyNumberFormat="1" applyFont="1" applyFill="1" applyBorder="1"/>
    <xf numFmtId="49" fontId="73" fillId="0" borderId="0" xfId="44" applyNumberFormat="1" applyFill="1" applyBorder="1" applyAlignment="1">
      <alignment horizontal="left"/>
    </xf>
    <xf numFmtId="1" fontId="73" fillId="0" borderId="0" xfId="44" applyNumberFormat="1" applyFill="1" applyBorder="1"/>
    <xf numFmtId="49" fontId="74" fillId="0" borderId="0" xfId="44" applyNumberFormat="1" applyFont="1" applyFill="1" applyBorder="1" applyAlignment="1">
      <alignment horizontal="left"/>
    </xf>
    <xf numFmtId="1" fontId="74" fillId="0" borderId="0" xfId="44" applyNumberFormat="1" applyFont="1" applyFill="1" applyBorder="1"/>
    <xf numFmtId="0" fontId="63" fillId="0" borderId="18" xfId="43" applyBorder="1"/>
    <xf numFmtId="3" fontId="63" fillId="0" borderId="18" xfId="43" applyNumberFormat="1" applyBorder="1"/>
    <xf numFmtId="0" fontId="63" fillId="0" borderId="65" xfId="43" applyBorder="1"/>
    <xf numFmtId="3" fontId="63" fillId="0" borderId="65" xfId="43" applyNumberFormat="1" applyBorder="1"/>
    <xf numFmtId="4" fontId="63" fillId="0" borderId="65" xfId="43" applyNumberFormat="1" applyBorder="1"/>
    <xf numFmtId="0" fontId="0" fillId="0" borderId="65" xfId="0" applyBorder="1"/>
    <xf numFmtId="4" fontId="0" fillId="0" borderId="65" xfId="0" applyNumberFormat="1" applyBorder="1"/>
    <xf numFmtId="4" fontId="68" fillId="43" borderId="65" xfId="43" applyNumberFormat="1" applyFont="1" applyFill="1" applyBorder="1"/>
    <xf numFmtId="0" fontId="68" fillId="0" borderId="65" xfId="43" applyFont="1" applyBorder="1"/>
    <xf numFmtId="0" fontId="68" fillId="50" borderId="65" xfId="43" applyFont="1" applyFill="1" applyBorder="1"/>
    <xf numFmtId="1" fontId="68" fillId="0" borderId="65" xfId="43" applyNumberFormat="1" applyFont="1" applyBorder="1"/>
    <xf numFmtId="3" fontId="68" fillId="0" borderId="65" xfId="43" applyNumberFormat="1" applyFont="1" applyBorder="1" applyAlignment="1">
      <alignment horizontal="left"/>
    </xf>
    <xf numFmtId="3" fontId="68" fillId="0" borderId="65" xfId="43" applyNumberFormat="1" applyFont="1" applyBorder="1"/>
    <xf numFmtId="4" fontId="68" fillId="0" borderId="65" xfId="43" applyNumberFormat="1" applyFont="1" applyFill="1" applyBorder="1"/>
    <xf numFmtId="4" fontId="68" fillId="0" borderId="65" xfId="43" applyNumberFormat="1" applyFont="1" applyBorder="1"/>
    <xf numFmtId="0" fontId="68" fillId="0" borderId="65" xfId="43" applyFont="1" applyBorder="1" applyAlignment="1">
      <alignment wrapText="1"/>
    </xf>
    <xf numFmtId="4" fontId="68" fillId="0" borderId="65" xfId="43" applyNumberFormat="1" applyFont="1" applyBorder="1" applyAlignment="1">
      <alignment wrapText="1"/>
    </xf>
    <xf numFmtId="1" fontId="68" fillId="43" borderId="65" xfId="43" applyNumberFormat="1" applyFont="1" applyFill="1" applyBorder="1"/>
    <xf numFmtId="0" fontId="68" fillId="0" borderId="65" xfId="43" applyFont="1" applyBorder="1" applyAlignment="1">
      <alignment horizontal="left"/>
    </xf>
    <xf numFmtId="0" fontId="68" fillId="43" borderId="65" xfId="43" applyFont="1" applyFill="1" applyBorder="1"/>
    <xf numFmtId="166" fontId="68" fillId="43" borderId="65" xfId="43" applyNumberFormat="1" applyFont="1" applyFill="1" applyBorder="1"/>
    <xf numFmtId="164" fontId="68" fillId="43" borderId="65" xfId="43" applyNumberFormat="1" applyFont="1" applyFill="1" applyBorder="1"/>
    <xf numFmtId="0" fontId="68" fillId="50" borderId="39" xfId="43" applyFont="1" applyFill="1" applyBorder="1"/>
    <xf numFmtId="0" fontId="68" fillId="50" borderId="23" xfId="43" applyFont="1" applyFill="1" applyBorder="1"/>
    <xf numFmtId="0" fontId="68" fillId="0" borderId="65" xfId="43" applyFont="1" applyFill="1" applyBorder="1"/>
    <xf numFmtId="0" fontId="68" fillId="52" borderId="65" xfId="43" applyFont="1" applyFill="1" applyBorder="1"/>
    <xf numFmtId="0" fontId="68" fillId="50" borderId="49" xfId="43" applyFont="1" applyFill="1" applyBorder="1"/>
    <xf numFmtId="3" fontId="63" fillId="0" borderId="51" xfId="43" applyNumberFormat="1" applyBorder="1"/>
    <xf numFmtId="0" fontId="0" fillId="43" borderId="65" xfId="0" applyFont="1" applyFill="1" applyBorder="1" applyAlignment="1">
      <alignment horizontal="right" vertical="center"/>
    </xf>
    <xf numFmtId="0" fontId="0" fillId="0" borderId="65" xfId="0" applyNumberFormat="1" applyBorder="1" applyAlignment="1">
      <alignment horizontal="center"/>
    </xf>
    <xf numFmtId="0" fontId="0" fillId="43" borderId="56" xfId="0" applyFont="1" applyFill="1" applyBorder="1" applyAlignment="1">
      <alignment horizontal="right" vertical="center"/>
    </xf>
    <xf numFmtId="0" fontId="75" fillId="0" borderId="0" xfId="0" applyFont="1" applyFill="1" applyAlignment="1">
      <alignment vertical="center"/>
    </xf>
    <xf numFmtId="0" fontId="76" fillId="0" borderId="0" xfId="0" applyFont="1" applyFill="1" applyAlignment="1">
      <alignment horizontal="left" vertical="center"/>
    </xf>
    <xf numFmtId="0" fontId="75" fillId="0" borderId="0" xfId="0" applyFont="1" applyFill="1" applyAlignment="1">
      <alignment horizontal="right" vertical="center"/>
    </xf>
    <xf numFmtId="0" fontId="73" fillId="0" borderId="0" xfId="0" applyFont="1" applyAlignment="1">
      <alignment horizontal="left"/>
    </xf>
    <xf numFmtId="0" fontId="73" fillId="0" borderId="0" xfId="0" applyFont="1"/>
    <xf numFmtId="0" fontId="68" fillId="51" borderId="73" xfId="43" applyFont="1" applyFill="1" applyBorder="1"/>
    <xf numFmtId="1" fontId="70" fillId="0" borderId="40" xfId="0" applyNumberFormat="1" applyFont="1" applyFill="1" applyBorder="1"/>
    <xf numFmtId="1" fontId="70" fillId="0" borderId="47" xfId="0" applyNumberFormat="1" applyFont="1" applyFill="1" applyBorder="1"/>
    <xf numFmtId="0" fontId="69" fillId="0" borderId="31" xfId="43" applyFont="1" applyBorder="1" applyAlignment="1">
      <alignment horizontal="left"/>
    </xf>
    <xf numFmtId="2" fontId="68" fillId="43" borderId="65" xfId="43" applyNumberFormat="1" applyFont="1" applyFill="1" applyBorder="1"/>
    <xf numFmtId="2" fontId="68" fillId="43" borderId="38" xfId="43" applyNumberFormat="1" applyFont="1" applyFill="1" applyBorder="1"/>
    <xf numFmtId="164" fontId="0" fillId="43" borderId="65" xfId="0" applyNumberFormat="1" applyFont="1" applyFill="1" applyBorder="1" applyAlignment="1">
      <alignment horizontal="right" vertical="center"/>
    </xf>
    <xf numFmtId="164" fontId="0" fillId="43" borderId="56" xfId="0" applyNumberFormat="1" applyFont="1" applyFill="1" applyBorder="1" applyAlignment="1">
      <alignment horizontal="right" vertical="center"/>
    </xf>
    <xf numFmtId="0" fontId="77" fillId="0" borderId="0" xfId="0" applyFont="1" applyAlignment="1">
      <alignment horizontal="left"/>
    </xf>
    <xf numFmtId="0" fontId="77" fillId="0" borderId="0" xfId="0" applyNumberFormat="1" applyFont="1"/>
    <xf numFmtId="0" fontId="63" fillId="43" borderId="21" xfId="43" applyFill="1" applyBorder="1"/>
    <xf numFmtId="4" fontId="63" fillId="0" borderId="18" xfId="43" applyNumberFormat="1" applyBorder="1"/>
    <xf numFmtId="0" fontId="0" fillId="0" borderId="18" xfId="0" applyBorder="1"/>
    <xf numFmtId="4" fontId="0" fillId="0" borderId="18" xfId="0" applyNumberFormat="1" applyBorder="1"/>
    <xf numFmtId="1" fontId="63" fillId="0" borderId="0" xfId="43" applyNumberFormat="1" applyBorder="1"/>
    <xf numFmtId="0" fontId="0" fillId="43" borderId="53" xfId="0" applyFont="1" applyFill="1" applyBorder="1" applyAlignment="1">
      <alignment horizontal="right" vertical="center"/>
    </xf>
    <xf numFmtId="1" fontId="0" fillId="0" borderId="38" xfId="0" applyNumberFormat="1" applyFont="1" applyFill="1" applyBorder="1" applyAlignment="1">
      <alignment horizontal="right" vertical="center"/>
    </xf>
    <xf numFmtId="1" fontId="0" fillId="0" borderId="41" xfId="0" applyNumberFormat="1" applyFont="1" applyFill="1" applyBorder="1" applyAlignment="1">
      <alignment horizontal="right" vertical="center"/>
    </xf>
    <xf numFmtId="2" fontId="80" fillId="46" borderId="0" xfId="0" applyNumberFormat="1" applyFont="1" applyFill="1" applyBorder="1" applyAlignment="1">
      <alignment horizontal="right" vertical="center"/>
    </xf>
    <xf numFmtId="2" fontId="78" fillId="34" borderId="0" xfId="0" applyNumberFormat="1" applyFont="1" applyFill="1" applyBorder="1" applyAlignment="1">
      <alignment horizontal="right" vertical="center"/>
    </xf>
    <xf numFmtId="4" fontId="81" fillId="48" borderId="0" xfId="0" applyNumberFormat="1" applyFont="1" applyFill="1" applyAlignment="1">
      <alignment horizontal="right" vertical="center"/>
    </xf>
    <xf numFmtId="165" fontId="81" fillId="48" borderId="0" xfId="0" applyNumberFormat="1" applyFont="1" applyFill="1" applyAlignment="1">
      <alignment horizontal="right" vertical="center"/>
    </xf>
    <xf numFmtId="3" fontId="81" fillId="48" borderId="0" xfId="0" applyNumberFormat="1" applyFont="1" applyFill="1" applyAlignment="1">
      <alignment horizontal="right" vertical="center"/>
    </xf>
    <xf numFmtId="3" fontId="81" fillId="0" borderId="0" xfId="0" applyNumberFormat="1" applyFont="1" applyFill="1" applyAlignment="1">
      <alignment horizontal="right" vertical="center"/>
    </xf>
    <xf numFmtId="1" fontId="79" fillId="43" borderId="65" xfId="0" applyNumberFormat="1" applyFont="1" applyFill="1" applyBorder="1" applyAlignment="1">
      <alignment horizontal="left" vertical="center"/>
    </xf>
    <xf numFmtId="0" fontId="79" fillId="0" borderId="65" xfId="0" applyNumberFormat="1" applyFont="1" applyFill="1" applyBorder="1" applyAlignment="1">
      <alignment horizontal="center" vertical="center"/>
    </xf>
    <xf numFmtId="0" fontId="79" fillId="0" borderId="23" xfId="0" applyNumberFormat="1" applyFont="1" applyFill="1" applyBorder="1" applyAlignment="1">
      <alignment horizontal="center" vertical="center"/>
    </xf>
    <xf numFmtId="1" fontId="79" fillId="0" borderId="41" xfId="0" applyNumberFormat="1" applyFont="1" applyFill="1" applyBorder="1" applyAlignment="1">
      <alignment horizontal="right" vertical="center"/>
    </xf>
    <xf numFmtId="1" fontId="82" fillId="0" borderId="0" xfId="0" applyNumberFormat="1" applyFont="1" applyFill="1" applyAlignment="1">
      <alignment horizontal="right" vertical="center"/>
    </xf>
    <xf numFmtId="0" fontId="82" fillId="0" borderId="0" xfId="0" applyFont="1" applyFill="1" applyAlignment="1">
      <alignment horizontal="right" vertical="center"/>
    </xf>
    <xf numFmtId="0" fontId="28" fillId="0" borderId="0" xfId="0" applyFont="1" applyFill="1" applyAlignment="1">
      <alignment vertical="center"/>
    </xf>
    <xf numFmtId="1" fontId="37" fillId="43" borderId="65" xfId="0" applyNumberFormat="1" applyFont="1" applyFill="1" applyBorder="1" applyAlignment="1">
      <alignment horizontal="right" vertical="center"/>
    </xf>
    <xf numFmtId="1" fontId="0" fillId="0" borderId="65" xfId="0" applyNumberFormat="1" applyBorder="1" applyAlignment="1">
      <alignment horizontal="center"/>
    </xf>
    <xf numFmtId="0" fontId="0" fillId="43" borderId="65" xfId="0" applyFont="1" applyFill="1" applyBorder="1" applyAlignment="1">
      <alignment horizontal="left" vertical="center"/>
    </xf>
    <xf numFmtId="0" fontId="51" fillId="45" borderId="0" xfId="0" applyFont="1" applyFill="1" applyBorder="1" applyAlignment="1">
      <alignment horizontal="left" vertical="center"/>
    </xf>
    <xf numFmtId="0" fontId="0" fillId="0" borderId="56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65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65" xfId="0" applyNumberFormat="1" applyFont="1" applyFill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0" fontId="68" fillId="50" borderId="21" xfId="43" applyFont="1" applyFill="1" applyBorder="1"/>
    <xf numFmtId="0" fontId="68" fillId="0" borderId="20" xfId="43" applyFont="1" applyBorder="1"/>
    <xf numFmtId="1" fontId="68" fillId="43" borderId="42" xfId="43" applyNumberFormat="1" applyFont="1" applyFill="1" applyBorder="1"/>
    <xf numFmtId="2" fontId="68" fillId="43" borderId="42" xfId="43" applyNumberFormat="1" applyFont="1" applyFill="1" applyBorder="1"/>
    <xf numFmtId="0" fontId="68" fillId="0" borderId="74" xfId="43" applyFont="1" applyBorder="1"/>
    <xf numFmtId="0" fontId="68" fillId="0" borderId="74" xfId="43" applyFont="1" applyFill="1" applyBorder="1"/>
    <xf numFmtId="0" fontId="68" fillId="0" borderId="21" xfId="43" applyFont="1" applyFill="1" applyBorder="1"/>
    <xf numFmtId="0" fontId="73" fillId="0" borderId="0" xfId="0" applyNumberFormat="1" applyFont="1"/>
    <xf numFmtId="4" fontId="68" fillId="0" borderId="74" xfId="43" applyNumberFormat="1" applyFont="1" applyFill="1" applyBorder="1"/>
    <xf numFmtId="4" fontId="63" fillId="0" borderId="51" xfId="43" applyNumberFormat="1" applyBorder="1"/>
    <xf numFmtId="0" fontId="68" fillId="43" borderId="20" xfId="43" applyFont="1" applyFill="1" applyBorder="1"/>
    <xf numFmtId="0" fontId="68" fillId="43" borderId="37" xfId="43" applyFont="1" applyFill="1" applyBorder="1"/>
    <xf numFmtId="0" fontId="68" fillId="43" borderId="22" xfId="43" applyFont="1" applyFill="1" applyBorder="1"/>
    <xf numFmtId="0" fontId="68" fillId="0" borderId="22" xfId="43" applyFont="1" applyFill="1" applyBorder="1"/>
    <xf numFmtId="0" fontId="68" fillId="52" borderId="22" xfId="43" applyFont="1" applyFill="1" applyBorder="1"/>
    <xf numFmtId="0" fontId="68" fillId="52" borderId="43" xfId="43" applyFont="1" applyFill="1" applyBorder="1"/>
    <xf numFmtId="0" fontId="68" fillId="52" borderId="73" xfId="43" applyFont="1" applyFill="1" applyBorder="1"/>
    <xf numFmtId="0" fontId="63" fillId="0" borderId="40" xfId="43" applyBorder="1"/>
    <xf numFmtId="0" fontId="46" fillId="0" borderId="0" xfId="0" applyFont="1" applyFill="1" applyAlignment="1">
      <alignment horizontal="left" vertical="center"/>
    </xf>
    <xf numFmtId="2" fontId="0" fillId="0" borderId="38" xfId="0" applyNumberFormat="1" applyFont="1" applyFill="1" applyBorder="1" applyAlignment="1">
      <alignment horizontal="right" vertical="center"/>
    </xf>
    <xf numFmtId="2" fontId="0" fillId="0" borderId="41" xfId="0" applyNumberFormat="1" applyFont="1" applyFill="1" applyBorder="1" applyAlignment="1">
      <alignment horizontal="right" vertical="center"/>
    </xf>
    <xf numFmtId="2" fontId="0" fillId="0" borderId="41" xfId="0" applyNumberFormat="1" applyFont="1" applyFill="1" applyBorder="1" applyAlignment="1">
      <alignment vertical="center"/>
    </xf>
    <xf numFmtId="1" fontId="0" fillId="0" borderId="4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1" fontId="0" fillId="0" borderId="52" xfId="0" applyNumberFormat="1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0" borderId="36" xfId="0" applyNumberFormat="1" applyBorder="1" applyAlignment="1">
      <alignment horizontal="center"/>
    </xf>
    <xf numFmtId="0" fontId="0" fillId="0" borderId="40" xfId="0" applyNumberFormat="1" applyBorder="1" applyAlignment="1">
      <alignment horizontal="center"/>
    </xf>
    <xf numFmtId="0" fontId="84" fillId="0" borderId="0" xfId="0" applyFont="1" applyAlignment="1">
      <alignment vertical="center"/>
    </xf>
    <xf numFmtId="0" fontId="83" fillId="0" borderId="0" xfId="0" applyFont="1" applyAlignment="1">
      <alignment vertical="center"/>
    </xf>
    <xf numFmtId="1" fontId="0" fillId="0" borderId="45" xfId="0" applyNumberFormat="1" applyFont="1" applyFill="1" applyBorder="1" applyAlignment="1">
      <alignment vertical="center"/>
    </xf>
    <xf numFmtId="0" fontId="63" fillId="43" borderId="35" xfId="43" applyFill="1" applyBorder="1"/>
    <xf numFmtId="4" fontId="77" fillId="0" borderId="0" xfId="0" applyNumberFormat="1" applyFont="1"/>
    <xf numFmtId="0" fontId="85" fillId="0" borderId="0" xfId="0" applyFont="1" applyAlignment="1">
      <alignment horizontal="left" indent="1"/>
    </xf>
    <xf numFmtId="0" fontId="85" fillId="0" borderId="0" xfId="0" applyNumberFormat="1" applyFont="1"/>
    <xf numFmtId="2" fontId="85" fillId="0" borderId="0" xfId="0" applyNumberFormat="1" applyFont="1" applyAlignment="1">
      <alignment horizontal="left"/>
    </xf>
    <xf numFmtId="0" fontId="85" fillId="0" borderId="75" xfId="0" applyFont="1" applyBorder="1"/>
    <xf numFmtId="2" fontId="85" fillId="0" borderId="0" xfId="0" applyNumberFormat="1" applyFont="1"/>
    <xf numFmtId="0" fontId="48" fillId="0" borderId="35" xfId="0" applyFont="1" applyFill="1" applyBorder="1" applyAlignment="1">
      <alignment horizontal="left" vertical="center"/>
    </xf>
    <xf numFmtId="164" fontId="0" fillId="0" borderId="52" xfId="0" applyNumberFormat="1" applyFont="1" applyFill="1" applyBorder="1" applyAlignment="1">
      <alignment horizontal="right" vertical="center"/>
    </xf>
    <xf numFmtId="0" fontId="61" fillId="43" borderId="65" xfId="0" applyFont="1" applyFill="1" applyBorder="1" applyAlignment="1">
      <alignment horizontal="right" vertical="center"/>
    </xf>
    <xf numFmtId="0" fontId="51" fillId="45" borderId="51" xfId="0" applyFont="1" applyFill="1" applyBorder="1" applyAlignment="1">
      <alignment horizontal="left" vertical="center"/>
    </xf>
    <xf numFmtId="2" fontId="42" fillId="46" borderId="51" xfId="42" applyNumberFormat="1" applyFont="1" applyFill="1" applyBorder="1" applyAlignment="1">
      <alignment horizontal="right" vertical="center"/>
    </xf>
    <xf numFmtId="0" fontId="0" fillId="0" borderId="61" xfId="0" applyFont="1" applyFill="1" applyBorder="1" applyAlignment="1">
      <alignment horizontal="left" vertical="center"/>
    </xf>
    <xf numFmtId="0" fontId="0" fillId="0" borderId="51" xfId="0" applyFont="1" applyFill="1" applyBorder="1" applyAlignment="1">
      <alignment horizontal="left" vertical="center"/>
    </xf>
    <xf numFmtId="0" fontId="0" fillId="43" borderId="50" xfId="0" applyFont="1" applyFill="1" applyBorder="1" applyAlignment="1">
      <alignment horizontal="left" vertical="center"/>
    </xf>
    <xf numFmtId="1" fontId="0" fillId="0" borderId="62" xfId="0" applyNumberFormat="1" applyFont="1" applyFill="1" applyBorder="1" applyAlignment="1">
      <alignment horizontal="left" vertical="center"/>
    </xf>
    <xf numFmtId="1" fontId="0" fillId="43" borderId="50" xfId="0" applyNumberFormat="1" applyFont="1" applyFill="1" applyBorder="1" applyAlignment="1">
      <alignment horizontal="right" vertical="center"/>
    </xf>
    <xf numFmtId="0" fontId="0" fillId="0" borderId="52" xfId="0" applyFont="1" applyFill="1" applyBorder="1" applyAlignment="1">
      <alignment horizontal="right" vertical="center"/>
    </xf>
    <xf numFmtId="0" fontId="63" fillId="0" borderId="21" xfId="43" applyFill="1" applyBorder="1"/>
    <xf numFmtId="0" fontId="0" fillId="43" borderId="18" xfId="0" applyFont="1" applyFill="1" applyBorder="1" applyAlignment="1">
      <alignment horizontal="right" vertical="center"/>
    </xf>
    <xf numFmtId="0" fontId="86" fillId="0" borderId="0" xfId="0" applyFont="1" applyAlignment="1">
      <alignment horizontal="left"/>
    </xf>
    <xf numFmtId="0" fontId="86" fillId="0" borderId="0" xfId="0" applyNumberFormat="1" applyFont="1"/>
    <xf numFmtId="1" fontId="68" fillId="0" borderId="23" xfId="43" applyNumberFormat="1" applyFont="1" applyBorder="1"/>
    <xf numFmtId="4" fontId="68" fillId="0" borderId="23" xfId="43" applyNumberFormat="1" applyFont="1" applyBorder="1"/>
    <xf numFmtId="4" fontId="68" fillId="0" borderId="49" xfId="43" applyNumberFormat="1" applyFont="1" applyBorder="1"/>
    <xf numFmtId="0" fontId="69" fillId="0" borderId="72" xfId="43" applyFont="1" applyBorder="1"/>
    <xf numFmtId="0" fontId="69" fillId="0" borderId="70" xfId="43" applyFont="1" applyBorder="1"/>
    <xf numFmtId="2" fontId="68" fillId="43" borderId="41" xfId="43" applyNumberFormat="1" applyFont="1" applyFill="1" applyBorder="1"/>
    <xf numFmtId="2" fontId="68" fillId="0" borderId="41" xfId="43" applyNumberFormat="1" applyFont="1" applyFill="1" applyBorder="1"/>
    <xf numFmtId="2" fontId="68" fillId="52" borderId="41" xfId="43" applyNumberFormat="1" applyFont="1" applyFill="1" applyBorder="1"/>
    <xf numFmtId="2" fontId="68" fillId="52" borderId="48" xfId="43" applyNumberFormat="1" applyFont="1" applyFill="1" applyBorder="1"/>
    <xf numFmtId="0" fontId="87" fillId="0" borderId="0" xfId="0" applyFont="1"/>
    <xf numFmtId="0" fontId="86" fillId="0" borderId="0" xfId="0" applyFont="1"/>
    <xf numFmtId="0" fontId="87" fillId="0" borderId="75" xfId="0" applyFont="1" applyBorder="1"/>
    <xf numFmtId="0" fontId="87" fillId="0" borderId="0" xfId="0" applyNumberFormat="1" applyFont="1"/>
    <xf numFmtId="0" fontId="87" fillId="0" borderId="0" xfId="0" applyFont="1" applyBorder="1"/>
    <xf numFmtId="0" fontId="0" fillId="43" borderId="18" xfId="0" applyFont="1" applyFill="1" applyBorder="1" applyAlignment="1">
      <alignment horizontal="left" vertical="center"/>
    </xf>
    <xf numFmtId="1" fontId="61" fillId="0" borderId="25" xfId="0" applyNumberFormat="1" applyFont="1" applyFill="1" applyBorder="1" applyAlignment="1">
      <alignment horizontal="right" vertical="center"/>
    </xf>
    <xf numFmtId="0" fontId="0" fillId="0" borderId="53" xfId="0" applyNumberFormat="1" applyBorder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/>
    </xf>
    <xf numFmtId="164" fontId="0" fillId="0" borderId="41" xfId="0" applyNumberFormat="1" applyFont="1" applyFill="1" applyBorder="1" applyAlignment="1">
      <alignment horizontal="right" vertical="center"/>
    </xf>
    <xf numFmtId="0" fontId="0" fillId="0" borderId="47" xfId="0" applyNumberFormat="1" applyBorder="1" applyAlignment="1">
      <alignment horizontal="center"/>
    </xf>
    <xf numFmtId="164" fontId="0" fillId="0" borderId="48" xfId="0" applyNumberFormat="1" applyFont="1" applyFill="1" applyBorder="1" applyAlignment="1">
      <alignment horizontal="right" vertical="center"/>
    </xf>
    <xf numFmtId="2" fontId="56" fillId="45" borderId="24" xfId="0" applyNumberFormat="1" applyFont="1" applyFill="1" applyBorder="1" applyAlignment="1">
      <alignment horizontal="right" vertical="center"/>
    </xf>
    <xf numFmtId="2" fontId="56" fillId="45" borderId="0" xfId="0" applyNumberFormat="1" applyFont="1" applyFill="1" applyBorder="1" applyAlignment="1">
      <alignment horizontal="right" vertical="center"/>
    </xf>
    <xf numFmtId="2" fontId="56" fillId="45" borderId="51" xfId="0" applyNumberFormat="1" applyFont="1" applyFill="1" applyBorder="1" applyAlignment="1">
      <alignment horizontal="right" vertical="center"/>
    </xf>
    <xf numFmtId="2" fontId="51" fillId="45" borderId="0" xfId="0" applyNumberFormat="1" applyFont="1" applyFill="1" applyBorder="1" applyAlignment="1">
      <alignment horizontal="right" vertical="center"/>
    </xf>
    <xf numFmtId="0" fontId="68" fillId="0" borderId="76" xfId="43" applyFont="1" applyFill="1" applyBorder="1"/>
    <xf numFmtId="2" fontId="68" fillId="43" borderId="45" xfId="43" applyNumberFormat="1" applyFont="1" applyFill="1" applyBorder="1"/>
    <xf numFmtId="0" fontId="68" fillId="0" borderId="77" xfId="43" applyFont="1" applyFill="1" applyBorder="1"/>
    <xf numFmtId="0" fontId="68" fillId="43" borderId="78" xfId="43" applyFont="1" applyFill="1" applyBorder="1"/>
    <xf numFmtId="1" fontId="68" fillId="0" borderId="31" xfId="43" applyNumberFormat="1" applyFont="1" applyBorder="1"/>
    <xf numFmtId="2" fontId="68" fillId="43" borderId="32" xfId="43" applyNumberFormat="1" applyFont="1" applyFill="1" applyBorder="1"/>
    <xf numFmtId="1" fontId="68" fillId="43" borderId="32" xfId="43" applyNumberFormat="1" applyFont="1" applyFill="1" applyBorder="1"/>
    <xf numFmtId="2" fontId="68" fillId="0" borderId="45" xfId="43" applyNumberFormat="1" applyFont="1" applyFill="1" applyBorder="1"/>
    <xf numFmtId="0" fontId="68" fillId="0" borderId="45" xfId="43" applyFont="1" applyFill="1" applyBorder="1"/>
    <xf numFmtId="0" fontId="68" fillId="0" borderId="21" xfId="43" applyFont="1" applyBorder="1"/>
    <xf numFmtId="0" fontId="68" fillId="43" borderId="32" xfId="43" applyFont="1" applyFill="1" applyBorder="1"/>
    <xf numFmtId="0" fontId="0" fillId="0" borderId="65" xfId="0" applyFont="1" applyFill="1" applyBorder="1" applyAlignment="1">
      <alignment horizontal="center" vertical="center"/>
    </xf>
    <xf numFmtId="1" fontId="0" fillId="0" borderId="45" xfId="0" applyNumberFormat="1" applyFont="1" applyFill="1" applyBorder="1" applyAlignment="1">
      <alignment horizontal="right" vertical="center"/>
    </xf>
    <xf numFmtId="0" fontId="0" fillId="0" borderId="56" xfId="0" applyFont="1" applyFill="1" applyBorder="1" applyAlignment="1">
      <alignment horizontal="center" vertical="center"/>
    </xf>
    <xf numFmtId="0" fontId="0" fillId="0" borderId="50" xfId="0" applyFont="1" applyFill="1" applyBorder="1" applyAlignment="1">
      <alignment horizontal="center" vertical="center"/>
    </xf>
    <xf numFmtId="0" fontId="0" fillId="56" borderId="65" xfId="0" applyFont="1" applyFill="1" applyBorder="1" applyAlignment="1">
      <alignment horizontal="center" vertical="center"/>
    </xf>
    <xf numFmtId="1" fontId="0" fillId="0" borderId="65" xfId="0" applyNumberFormat="1" applyFont="1" applyFill="1" applyBorder="1" applyAlignment="1">
      <alignment horizontal="right" vertical="center"/>
    </xf>
    <xf numFmtId="2" fontId="0" fillId="0" borderId="65" xfId="0" applyNumberFormat="1" applyFont="1" applyFill="1" applyBorder="1" applyAlignment="1">
      <alignment horizontal="right" vertical="center"/>
    </xf>
    <xf numFmtId="2" fontId="63" fillId="0" borderId="0" xfId="43" applyNumberFormat="1" applyBorder="1"/>
    <xf numFmtId="0" fontId="64" fillId="0" borderId="66" xfId="43" applyFont="1" applyBorder="1" applyAlignment="1">
      <alignment horizontal="center" vertical="center" textRotation="255"/>
    </xf>
    <xf numFmtId="0" fontId="64" fillId="0" borderId="68" xfId="43" applyFont="1" applyBorder="1" applyAlignment="1">
      <alignment horizontal="center" vertical="center" textRotation="255"/>
    </xf>
    <xf numFmtId="0" fontId="64" fillId="0" borderId="69" xfId="43" applyFont="1" applyBorder="1" applyAlignment="1">
      <alignment horizontal="center" vertical="center" textRotation="255"/>
    </xf>
    <xf numFmtId="0" fontId="65" fillId="0" borderId="67" xfId="43" applyFont="1" applyBorder="1" applyAlignment="1">
      <alignment horizontal="center" vertical="center"/>
    </xf>
    <xf numFmtId="0" fontId="65" fillId="0" borderId="29" xfId="43" applyFont="1" applyBorder="1" applyAlignment="1">
      <alignment horizontal="center" vertical="center"/>
    </xf>
    <xf numFmtId="0" fontId="65" fillId="0" borderId="30" xfId="43" applyFont="1" applyBorder="1" applyAlignment="1">
      <alignment horizontal="center" vertical="center"/>
    </xf>
    <xf numFmtId="0" fontId="65" fillId="0" borderId="31" xfId="43" applyFont="1" applyBorder="1" applyAlignment="1">
      <alignment horizontal="center" vertical="center"/>
    </xf>
    <xf numFmtId="0" fontId="65" fillId="0" borderId="55" xfId="43" applyFont="1" applyBorder="1" applyAlignment="1">
      <alignment horizontal="center" vertical="center"/>
    </xf>
    <xf numFmtId="0" fontId="65" fillId="0" borderId="32" xfId="43" applyFont="1" applyBorder="1" applyAlignment="1">
      <alignment horizontal="center" vertical="center"/>
    </xf>
    <xf numFmtId="0" fontId="65" fillId="0" borderId="70" xfId="43" applyFont="1" applyBorder="1" applyAlignment="1">
      <alignment horizontal="center" vertical="center"/>
    </xf>
    <xf numFmtId="0" fontId="65" fillId="0" borderId="71" xfId="43" applyFont="1" applyBorder="1" applyAlignment="1">
      <alignment horizontal="center" vertical="center"/>
    </xf>
    <xf numFmtId="0" fontId="65" fillId="0" borderId="72" xfId="43" applyFont="1" applyBorder="1" applyAlignment="1">
      <alignment horizontal="center" vertical="center"/>
    </xf>
    <xf numFmtId="0" fontId="68" fillId="50" borderId="22" xfId="43" applyFont="1" applyFill="1" applyBorder="1" applyAlignment="1">
      <alignment horizontal="center"/>
    </xf>
    <xf numFmtId="0" fontId="68" fillId="50" borderId="23" xfId="43" applyFont="1" applyFill="1" applyBorder="1" applyAlignment="1">
      <alignment horizontal="center"/>
    </xf>
    <xf numFmtId="0" fontId="68" fillId="50" borderId="65" xfId="43" applyFont="1" applyFill="1" applyBorder="1" applyAlignment="1">
      <alignment horizontal="center"/>
    </xf>
    <xf numFmtId="0" fontId="66" fillId="50" borderId="29" xfId="43" applyFont="1" applyFill="1" applyBorder="1" applyAlignment="1">
      <alignment horizontal="center"/>
    </xf>
    <xf numFmtId="0" fontId="66" fillId="50" borderId="30" xfId="43" applyFont="1" applyFill="1" applyBorder="1" applyAlignment="1">
      <alignment horizontal="center"/>
    </xf>
    <xf numFmtId="0" fontId="69" fillId="0" borderId="29" xfId="43" applyFont="1" applyBorder="1" applyAlignment="1">
      <alignment horizontal="center"/>
    </xf>
    <xf numFmtId="0" fontId="65" fillId="0" borderId="24" xfId="43" applyFont="1" applyBorder="1" applyAlignment="1">
      <alignment horizontal="center" vertical="center"/>
    </xf>
    <xf numFmtId="0" fontId="65" fillId="0" borderId="25" xfId="43" applyFont="1" applyBorder="1" applyAlignment="1">
      <alignment horizontal="center" vertical="center"/>
    </xf>
    <xf numFmtId="0" fontId="65" fillId="0" borderId="26" xfId="43" applyFont="1" applyBorder="1" applyAlignment="1">
      <alignment horizontal="center" vertical="center"/>
    </xf>
    <xf numFmtId="0" fontId="65" fillId="0" borderId="56" xfId="43" applyFont="1" applyBorder="1" applyAlignment="1">
      <alignment horizontal="center" vertical="center"/>
    </xf>
    <xf numFmtId="0" fontId="65" fillId="0" borderId="63" xfId="43" applyFont="1" applyBorder="1" applyAlignment="1">
      <alignment horizontal="center" vertical="center"/>
    </xf>
    <xf numFmtId="0" fontId="68" fillId="50" borderId="63" xfId="43" applyFont="1" applyFill="1" applyBorder="1" applyAlignment="1">
      <alignment horizontal="center"/>
    </xf>
    <xf numFmtId="0" fontId="65" fillId="0" borderId="38" xfId="43" applyFont="1" applyBorder="1" applyAlignment="1">
      <alignment horizontal="center" vertical="center"/>
    </xf>
    <xf numFmtId="0" fontId="64" fillId="0" borderId="26" xfId="43" applyFont="1" applyBorder="1" applyAlignment="1">
      <alignment horizontal="center" vertical="center" textRotation="255"/>
    </xf>
    <xf numFmtId="0" fontId="64" fillId="0" borderId="28" xfId="43" applyFont="1" applyBorder="1" applyAlignment="1">
      <alignment horizontal="center" vertical="center" textRotation="255"/>
    </xf>
    <xf numFmtId="0" fontId="64" fillId="0" borderId="61" xfId="43" applyFont="1" applyBorder="1" applyAlignment="1">
      <alignment horizontal="center" vertical="center" textRotation="255"/>
    </xf>
    <xf numFmtId="0" fontId="28" fillId="0" borderId="0" xfId="0" applyFont="1" applyAlignment="1">
      <alignment horizontal="center" vertical="center"/>
    </xf>
    <xf numFmtId="0" fontId="44" fillId="44" borderId="19" xfId="0" applyFont="1" applyFill="1" applyBorder="1" applyAlignment="1">
      <alignment horizontal="center" vertical="center"/>
    </xf>
    <xf numFmtId="0" fontId="45" fillId="44" borderId="19" xfId="0" applyFont="1" applyFill="1" applyBorder="1" applyAlignment="1">
      <alignment horizontal="center" vertical="center" wrapText="1"/>
    </xf>
    <xf numFmtId="0" fontId="44" fillId="44" borderId="19" xfId="0" applyFont="1" applyFill="1" applyBorder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49" fillId="44" borderId="20" xfId="0" applyFont="1" applyFill="1" applyBorder="1" applyAlignment="1">
      <alignment horizontal="center" vertical="center" wrapText="1"/>
    </xf>
    <xf numFmtId="0" fontId="49" fillId="44" borderId="21" xfId="0" applyFont="1" applyFill="1" applyBorder="1" applyAlignment="1">
      <alignment horizontal="center" vertical="center" wrapText="1"/>
    </xf>
    <xf numFmtId="0" fontId="40" fillId="44" borderId="22" xfId="0" applyFont="1" applyFill="1" applyBorder="1" applyAlignment="1">
      <alignment horizontal="center" vertical="center"/>
    </xf>
    <xf numFmtId="0" fontId="40" fillId="44" borderId="23" xfId="0" applyFont="1" applyFill="1" applyBorder="1" applyAlignment="1">
      <alignment horizontal="center" vertical="center"/>
    </xf>
    <xf numFmtId="0" fontId="60" fillId="34" borderId="19" xfId="0" applyFont="1" applyFill="1" applyBorder="1" applyAlignment="1">
      <alignment horizontal="center" vertical="center" wrapText="1"/>
    </xf>
    <xf numFmtId="0" fontId="27" fillId="34" borderId="0" xfId="0" applyFont="1" applyFill="1" applyAlignment="1">
      <alignment horizontal="center" vertical="center" wrapText="1"/>
    </xf>
    <xf numFmtId="0" fontId="34" fillId="36" borderId="0" xfId="0" applyFont="1" applyFill="1" applyAlignment="1">
      <alignment horizontal="center" vertical="center"/>
    </xf>
    <xf numFmtId="2" fontId="33" fillId="35" borderId="13" xfId="0" applyNumberFormat="1" applyFont="1" applyFill="1" applyBorder="1" applyAlignment="1">
      <alignment horizontal="center" vertical="center"/>
    </xf>
    <xf numFmtId="2" fontId="33" fillId="35" borderId="0" xfId="0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65" fontId="35" fillId="41" borderId="0" xfId="0" applyNumberFormat="1" applyFont="1" applyFill="1" applyBorder="1" applyAlignment="1">
      <alignment horizontal="center" vertical="center" wrapText="1"/>
    </xf>
    <xf numFmtId="0" fontId="19" fillId="33" borderId="0" xfId="0" applyFont="1" applyFill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0000000}"/>
    <cellStyle name="Normal 3" xfId="44" xr:uid="{00000000-0005-0000-0000-000021000000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3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71" formatCode="0.00000000"/>
    </dxf>
    <dxf>
      <numFmt numFmtId="172" formatCode="0.000000000"/>
    </dxf>
    <dxf>
      <numFmt numFmtId="3" formatCode="#,##0"/>
    </dxf>
    <dxf>
      <numFmt numFmtId="165" formatCode="#,##0.0"/>
    </dxf>
    <dxf>
      <numFmt numFmtId="4" formatCode="#,##0.00"/>
    </dxf>
    <dxf>
      <border>
        <left/>
        <right/>
        <vertical/>
      </border>
    </dxf>
    <dxf>
      <border>
        <left/>
        <right/>
        <vertical/>
      </border>
    </dxf>
    <dxf>
      <border>
        <top/>
        <bottom/>
      </border>
    </dxf>
    <dxf>
      <border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71" formatCode="0.00000000"/>
    </dxf>
    <dxf>
      <numFmt numFmtId="172" formatCode="0.0000000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71" formatCode="0.00000000"/>
    </dxf>
    <dxf>
      <numFmt numFmtId="172" formatCode="0.0000000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71" formatCode="0.00000000"/>
    </dxf>
    <dxf>
      <numFmt numFmtId="172" formatCode="0.000000000"/>
    </dxf>
    <dxf>
      <font>
        <color theme="0"/>
      </font>
      <fill>
        <patternFill>
          <bgColor rgb="FFFF000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71" formatCode="0.00000000"/>
    </dxf>
    <dxf>
      <numFmt numFmtId="172" formatCode="0.000000000"/>
    </dxf>
    <dxf>
      <font>
        <b/>
        <i val="0"/>
        <color theme="0"/>
      </font>
      <numFmt numFmtId="2" formatCode="0.00"/>
      <fill>
        <patternFill>
          <bgColor rgb="FFFF000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71" formatCode="0.00000000"/>
    </dxf>
    <dxf>
      <numFmt numFmtId="172" formatCode="0.000000000"/>
    </dxf>
    <dxf>
      <font>
        <b/>
        <i val="0"/>
        <color theme="0"/>
      </font>
      <fill>
        <patternFill>
          <bgColor rgb="FFFF0000"/>
        </patternFill>
      </fill>
    </dxf>
    <dxf>
      <numFmt numFmtId="3" formatCode="#,##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3" formatCode="#,##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165" formatCode="#,##0.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2" formatCode="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165" formatCode="#,##0.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165" formatCode="#,##0.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165" formatCode="#,##0.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4" formatCode="#,##0.0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4" formatCode="#,##0.0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4" formatCode="#,##0.0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charset val="162"/>
        <scheme val="minor"/>
      </font>
      <numFmt numFmtId="4" formatCode="#,##0.00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numFmt numFmtId="4" formatCode="#,##0.00"/>
      <fill>
        <patternFill patternType="solid">
          <fgColor indexed="64"/>
          <bgColor rgb="FFFF0000"/>
        </patternFill>
      </fill>
      <alignment horizontal="right" vertical="center" textRotation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99"/>
      <color rgb="FFEE0000"/>
      <color rgb="FF13A907"/>
      <color rgb="FF66FF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Verimlilik!$E$8</c:f>
              <c:strCache>
                <c:ptCount val="1"/>
                <c:pt idx="0">
                  <c:v>Aylık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Verimlilik!$B$9:$B$20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Verimlilik!$E$9:$E$20</c:f>
              <c:numCache>
                <c:formatCode>0.0</c:formatCode>
                <c:ptCount val="12"/>
                <c:pt idx="0">
                  <c:v>45.220214402130246</c:v>
                </c:pt>
                <c:pt idx="1">
                  <c:v>59.733011999799182</c:v>
                </c:pt>
                <c:pt idx="2">
                  <c:v>66.331545331577573</c:v>
                </c:pt>
                <c:pt idx="3">
                  <c:v>60.725536696892199</c:v>
                </c:pt>
                <c:pt idx="4">
                  <c:v>55.621901377639773</c:v>
                </c:pt>
                <c:pt idx="5">
                  <c:v>61.599219103666826</c:v>
                </c:pt>
                <c:pt idx="6">
                  <c:v>42.280106135613558</c:v>
                </c:pt>
                <c:pt idx="7">
                  <c:v>45.706199602052564</c:v>
                </c:pt>
                <c:pt idx="8">
                  <c:v>59.68218077517983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3-4E31-BBFC-2A449BABE09C}"/>
            </c:ext>
          </c:extLst>
        </c:ser>
        <c:ser>
          <c:idx val="1"/>
          <c:order val="1"/>
          <c:tx>
            <c:strRef>
              <c:f>Verimlilik!$F$8</c:f>
              <c:strCache>
                <c:ptCount val="1"/>
                <c:pt idx="0">
                  <c:v>Kümülatif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Verimlilik!$B$9:$B$20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Verimlilik!$F$9:$F$20</c:f>
              <c:numCache>
                <c:formatCode>0.00</c:formatCode>
                <c:ptCount val="12"/>
                <c:pt idx="0">
                  <c:v>45.220214402130246</c:v>
                </c:pt>
                <c:pt idx="1">
                  <c:v>52.9608239471697</c:v>
                </c:pt>
                <c:pt idx="2">
                  <c:v>57.963819617622612</c:v>
                </c:pt>
                <c:pt idx="3">
                  <c:v>58.673725496055475</c:v>
                </c:pt>
                <c:pt idx="4">
                  <c:v>58.096294411836567</c:v>
                </c:pt>
                <c:pt idx="5">
                  <c:v>58.713981616833891</c:v>
                </c:pt>
                <c:pt idx="6">
                  <c:v>56.238200368096258</c:v>
                </c:pt>
                <c:pt idx="7">
                  <c:v>54.565324427050108</c:v>
                </c:pt>
                <c:pt idx="8">
                  <c:v>55.264389563362016</c:v>
                </c:pt>
                <c:pt idx="9">
                  <c:v>55.264389563362016</c:v>
                </c:pt>
                <c:pt idx="10">
                  <c:v>55.264389563362016</c:v>
                </c:pt>
                <c:pt idx="11">
                  <c:v>55.264389563362016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3-4E31-BBFC-2A449BAB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"/>
        <c:axId val="230626072"/>
        <c:axId val="230623720"/>
      </c:barChart>
      <c:lineChart>
        <c:grouping val="standard"/>
        <c:varyColors val="0"/>
        <c:ser>
          <c:idx val="2"/>
          <c:order val="2"/>
          <c:tx>
            <c:strRef>
              <c:f>Verimlilik!$G$8</c:f>
              <c:strCache>
                <c:ptCount val="1"/>
                <c:pt idx="0">
                  <c:v>HEDEF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Verimlilik!$B$9:$B$20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Verimlilik!$G$9:$G$20</c:f>
              <c:numCache>
                <c:formatCode>0.0</c:formatCode>
                <c:ptCount val="12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3-4E31-BBFC-2A449BAB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26072"/>
        <c:axId val="230623720"/>
      </c:lineChart>
      <c:catAx>
        <c:axId val="23062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0623720"/>
        <c:crosses val="autoZero"/>
        <c:auto val="1"/>
        <c:lblAlgn val="ctr"/>
        <c:lblOffset val="100"/>
        <c:noMultiLvlLbl val="0"/>
      </c:catAx>
      <c:valAx>
        <c:axId val="23062372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30626072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02</a:t>
            </a:r>
            <a:r>
              <a:rPr lang="tr-TR" b="1" baseline="0"/>
              <a:t> Aylık Üretim Verimliliği</a:t>
            </a:r>
            <a:endParaRPr lang="tr-T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5.9258613747859602E-2"/>
          <c:y val="0.13998484744853132"/>
          <c:w val="0.92209816689244495"/>
          <c:h val="0.61359941494315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'Verimlilik Analizi'!$R$5:$R$18</c:f>
              <c:strCache>
                <c:ptCount val="14"/>
                <c:pt idx="0">
                  <c:v>Alt Şase</c:v>
                </c:pt>
                <c:pt idx="1">
                  <c:v>Arm</c:v>
                </c:pt>
                <c:pt idx="2">
                  <c:v>Bom</c:v>
                </c:pt>
                <c:pt idx="3">
                  <c:v>Büyük Talaşlı</c:v>
                </c:pt>
                <c:pt idx="4">
                  <c:v>Üst Şase</c:v>
                </c:pt>
                <c:pt idx="5">
                  <c:v>Küçük Kaynaklı</c:v>
                </c:pt>
                <c:pt idx="6">
                  <c:v>Küçük Talaşlı</c:v>
                </c:pt>
                <c:pt idx="7">
                  <c:v>Robotlar</c:v>
                </c:pt>
                <c:pt idx="8">
                  <c:v>Loder &amp; Greyder</c:v>
                </c:pt>
                <c:pt idx="9">
                  <c:v>Parça Boyahane</c:v>
                </c:pt>
                <c:pt idx="10">
                  <c:v>Merkez Boyahane</c:v>
                </c:pt>
                <c:pt idx="11">
                  <c:v>Montaj</c:v>
                </c:pt>
                <c:pt idx="12">
                  <c:v>Hortumhane</c:v>
                </c:pt>
                <c:pt idx="13">
                  <c:v>EOL</c:v>
                </c:pt>
              </c:strCache>
            </c:strRef>
          </c:cat>
          <c:val>
            <c:numRef>
              <c:f>'Verimlilik Analizi'!$S$5:$S$18</c:f>
              <c:numCache>
                <c:formatCode>0%</c:formatCode>
                <c:ptCount val="14"/>
                <c:pt idx="0">
                  <c:v>0.70055555401841541</c:v>
                </c:pt>
                <c:pt idx="1">
                  <c:v>0.83192499158262323</c:v>
                </c:pt>
                <c:pt idx="2">
                  <c:v>0.83092332034059024</c:v>
                </c:pt>
                <c:pt idx="3">
                  <c:v>0.67054841210959393</c:v>
                </c:pt>
                <c:pt idx="4">
                  <c:v>0.88602911772573423</c:v>
                </c:pt>
                <c:pt idx="5">
                  <c:v>0.66218932566379118</c:v>
                </c:pt>
                <c:pt idx="6">
                  <c:v>0.87947561289085163</c:v>
                </c:pt>
                <c:pt idx="7">
                  <c:v>0.90087811245662341</c:v>
                </c:pt>
                <c:pt idx="8">
                  <c:v>0.57925261426980013</c:v>
                </c:pt>
                <c:pt idx="9">
                  <c:v>0.79026496162392956</c:v>
                </c:pt>
                <c:pt idx="10">
                  <c:v>0.82629301239430519</c:v>
                </c:pt>
                <c:pt idx="11">
                  <c:v>0.57201709131839718</c:v>
                </c:pt>
                <c:pt idx="12">
                  <c:v>0.66989621176429182</c:v>
                </c:pt>
                <c:pt idx="13">
                  <c:v>0.52298239073887909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2-4D81-824A-2810492D5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885999"/>
        <c:axId val="455898063"/>
      </c:barChart>
      <c:catAx>
        <c:axId val="45588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898063"/>
        <c:crosses val="autoZero"/>
        <c:auto val="1"/>
        <c:lblAlgn val="ctr"/>
        <c:lblOffset val="100"/>
        <c:noMultiLvlLbl val="0"/>
      </c:catAx>
      <c:valAx>
        <c:axId val="455898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88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Verimlilik!$G$4</c:f>
              <c:strCache>
                <c:ptCount val="1"/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-1.5004064012929232E-2"/>
                  <c:y val="-6.7212267985367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5636904072755"/>
                      <c:h val="0.12494760618479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C78-4C80-AA66-3B7AE0FF4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Verimlilik!$F$5:$F$6</c:f>
              <c:numCache>
                <c:formatCode>0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Verimlilik!$G$5:$G$6</c:f>
              <c:numCache>
                <c:formatCode>0.0</c:formatCode>
                <c:ptCount val="2"/>
                <c:pt idx="0">
                  <c:v>80.7</c:v>
                </c:pt>
                <c:pt idx="1">
                  <c:v>55.264389563362016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E-49FC-A9ED-86AA933FF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4"/>
        <c:axId val="230628424"/>
        <c:axId val="230622936"/>
      </c:barChart>
      <c:catAx>
        <c:axId val="2306284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0622936"/>
        <c:crosses val="autoZero"/>
        <c:auto val="1"/>
        <c:lblAlgn val="ctr"/>
        <c:lblOffset val="100"/>
        <c:noMultiLvlLbl val="0"/>
      </c:catAx>
      <c:valAx>
        <c:axId val="230622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23062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5079441299753"/>
          <c:y val="0.12661697117097917"/>
          <c:w val="0.71820920434591062"/>
          <c:h val="0.79321799853347308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gradFill flip="none" rotWithShape="1">
                <a:gsLst>
                  <a:gs pos="0">
                    <a:schemeClr val="tx1">
                      <a:lumMod val="50000"/>
                      <a:lumOff val="50000"/>
                    </a:schemeClr>
                  </a:gs>
                  <a:gs pos="30000">
                    <a:schemeClr val="bg1">
                      <a:lumMod val="65000"/>
                    </a:schemeClr>
                  </a:gs>
                  <a:gs pos="59000">
                    <a:schemeClr val="bg1">
                      <a:lumMod val="7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7-44B6-A649-40B54559903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FF0000"/>
                  </a:gs>
                  <a:gs pos="56000">
                    <a:srgbClr val="C00000"/>
                  </a:gs>
                  <a:gs pos="100000">
                    <a:srgbClr val="FF00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7-44B6-A649-40B54559903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D7-44B6-A649-40B54559903B}"/>
                </c:ext>
              </c:extLst>
            </c:dLbl>
            <c:dLbl>
              <c:idx val="1"/>
              <c:layout>
                <c:manualLayout>
                  <c:x val="0.12416047065324262"/>
                  <c:y val="1.3786288447036166E-4"/>
                </c:manualLayout>
              </c:layout>
              <c:tx>
                <c:rich>
                  <a:bodyPr rot="0" spcFirstLastPara="1" vertOverflow="clip" horzOverflow="clip" vert="horz" wrap="none" lIns="38100" tIns="19050" rIns="38100" bIns="19050" anchor="ctr" anchorCtr="1">
                    <a:noAutofit/>
                  </a:bodyPr>
                  <a:lstStyle/>
                  <a:p>
                    <a:pPr>
                      <a:defRPr sz="5300" b="1" i="0" u="none" strike="noStrike" kern="1200" cap="none" spc="0" baseline="0">
                        <a:ln w="0"/>
                        <a:solidFill>
                          <a:srgbClr val="C00000"/>
                        </a:solidFill>
                        <a:effectLst>
                          <a:reflection blurRad="6350" stA="53000" endA="300" endPos="35500" dir="5400000" sy="-90000" algn="bl" rotWithShape="0"/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E9610A15-C86C-4196-A269-6B06364CDAF9}" type="VALUE">
                      <a:rPr lang="en-US" sz="3200" b="1" cap="none" spc="0">
                        <a:ln w="0"/>
                        <a:solidFill>
                          <a:srgbClr val="C00000"/>
                        </a:solidFill>
                        <a:effectLst>
                          <a:reflection blurRad="6350" stA="53000" endA="300" endPos="35500" dir="5400000" sy="-90000" algn="bl" rotWithShape="0"/>
                        </a:effectLst>
                      </a:rPr>
                      <a:pPr>
                        <a:defRPr sz="5300" b="1" cap="none" spc="0">
                          <a:ln w="0"/>
                          <a:solidFill>
                            <a:srgbClr val="C00000"/>
                          </a:solidFill>
                          <a:effectLst>
                            <a:reflection blurRad="6350" stA="53000" endA="300" endPos="35500" dir="5400000" sy="-90000" algn="bl" rotWithShape="0"/>
                          </a:effectLst>
                        </a:defRPr>
                      </a:pPr>
                      <a:t>[VALUE]</a:t>
                    </a:fld>
                    <a:endParaRPr lang="tr-T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5300" b="1" i="0" u="none" strike="noStrike" kern="1200" cap="none" spc="0" baseline="0">
                      <a:ln w="0"/>
                      <a:solidFill>
                        <a:srgbClr val="C00000"/>
                      </a:solidFill>
                      <a:effectLst>
                        <a:reflection blurRad="6350" stA="53000" endA="300" endPos="35500" dir="5400000" sy="-90000" algn="bl" rotWithShape="0"/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99457156090782772"/>
                      <c:h val="0.9998622724078597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DD7-44B6-A649-40B545599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1" i="0" u="none" strike="noStrike" kern="1200" cap="none" spc="0" baseline="0">
                    <a:ln w="0"/>
                    <a:solidFill>
                      <a:srgbClr val="C00000"/>
                    </a:solidFill>
                    <a:effectLst>
                      <a:reflection blurRad="6350" stA="53000" endA="300" endPos="35500" dir="5400000" sy="-9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Verimlilik!$X$2:$X$3</c:f>
              <c:numCache>
                <c:formatCode>#,##0.0</c:formatCode>
                <c:ptCount val="2"/>
                <c:pt idx="0">
                  <c:v>19.735610436637984</c:v>
                </c:pt>
                <c:pt idx="1">
                  <c:v>55.264389563362016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7-44B6-A649-40B5455990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İşçilik Kapasite Kaybı'!$E$8</c:f>
              <c:strCache>
                <c:ptCount val="1"/>
                <c:pt idx="0">
                  <c:v>Aylık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İşçilik Kapasite Kaybı'!$B$9:$B$20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'Net İşçilik Kapasite Kaybı'!$E$9:$E$20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1.218526996095328</c:v>
                </c:pt>
                <c:pt idx="8">
                  <c:v>0.71984202069348713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C-437C-8B1D-CCBEE37CFE6F}"/>
            </c:ext>
          </c:extLst>
        </c:ser>
        <c:ser>
          <c:idx val="1"/>
          <c:order val="1"/>
          <c:tx>
            <c:strRef>
              <c:f>'Net İşçilik Kapasite Kaybı'!$F$8</c:f>
              <c:strCache>
                <c:ptCount val="1"/>
                <c:pt idx="0">
                  <c:v>Kümülatif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İşçilik Kapasite Kaybı'!$B$9:$B$20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'Net İşçilik Kapasite Kaybı'!$F$9:$F$20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0.1935476972101329</c:v>
                </c:pt>
                <c:pt idx="8">
                  <c:v>0.26545005052137027</c:v>
                </c:pt>
                <c:pt idx="9">
                  <c:v>0.26545005052137027</c:v>
                </c:pt>
                <c:pt idx="10">
                  <c:v>0.26545005052137027</c:v>
                </c:pt>
                <c:pt idx="11">
                  <c:v>0.26545005052137027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C-437C-8B1D-CCBEE37C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"/>
        <c:axId val="230624896"/>
        <c:axId val="230629208"/>
      </c:barChart>
      <c:lineChart>
        <c:grouping val="standard"/>
        <c:varyColors val="0"/>
        <c:ser>
          <c:idx val="2"/>
          <c:order val="2"/>
          <c:tx>
            <c:strRef>
              <c:f>'Net İşçilik Kapasite Kaybı'!$G$8</c:f>
              <c:strCache>
                <c:ptCount val="1"/>
                <c:pt idx="0">
                  <c:v>HEDEF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'Net İşçilik Kapasite Kaybı'!$B$9:$B$20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'Net İşçilik Kapasite Kaybı'!$G$9:$G$20</c:f>
              <c:numCache>
                <c:formatCode>0.0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C-437C-8B1D-CCBEE37C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24896"/>
        <c:axId val="230629208"/>
      </c:lineChart>
      <c:catAx>
        <c:axId val="2306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0629208"/>
        <c:crosses val="autoZero"/>
        <c:auto val="1"/>
        <c:lblAlgn val="ctr"/>
        <c:lblOffset val="100"/>
        <c:noMultiLvlLbl val="0"/>
      </c:catAx>
      <c:valAx>
        <c:axId val="23062920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3062489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İşçilik Kapasite Kaybı'!$G$4</c:f>
              <c:strCache>
                <c:ptCount val="1"/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1.8158129892411643E-2"/>
                  <c:y val="1.4229811454998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24934767845012"/>
                      <c:h val="0.132266097474208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385-4696-97D0-01575E664022}"/>
                </c:ext>
              </c:extLst>
            </c:dLbl>
            <c:dLbl>
              <c:idx val="1"/>
              <c:layout>
                <c:manualLayout>
                  <c:x val="9.0174846898020675E-2"/>
                  <c:y val="-6.5011069317548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437774030354129"/>
                      <c:h val="0.13184397163120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B0E-4C4E-8B2B-46368F16A5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İşçilik Kapasite Kaybı'!$F$5:$F$6</c:f>
              <c:numCache>
                <c:formatCode>0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'Net İşçilik Kapasite Kaybı'!$G$5:$G$6</c:f>
              <c:numCache>
                <c:formatCode>0.0</c:formatCode>
                <c:ptCount val="2"/>
                <c:pt idx="0">
                  <c:v>10.5</c:v>
                </c:pt>
                <c:pt idx="1">
                  <c:v>0.26545005052137027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E-4C4E-8B2B-46368F16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4"/>
        <c:axId val="330423688"/>
        <c:axId val="330420160"/>
      </c:barChart>
      <c:catAx>
        <c:axId val="3304236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420160"/>
        <c:crosses val="autoZero"/>
        <c:auto val="1"/>
        <c:lblAlgn val="ctr"/>
        <c:lblOffset val="100"/>
        <c:noMultiLvlLbl val="0"/>
      </c:catAx>
      <c:valAx>
        <c:axId val="33042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3042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81490168338886"/>
          <c:y val="0.10795350972773311"/>
          <c:w val="0.71820920434591062"/>
          <c:h val="0.79321799853347308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gradFill flip="none" rotWithShape="1">
                <a:gsLst>
                  <a:gs pos="0">
                    <a:schemeClr val="tx1">
                      <a:lumMod val="50000"/>
                      <a:lumOff val="50000"/>
                    </a:schemeClr>
                  </a:gs>
                  <a:gs pos="30000">
                    <a:schemeClr val="bg1">
                      <a:lumMod val="65000"/>
                    </a:schemeClr>
                  </a:gs>
                  <a:gs pos="59000">
                    <a:schemeClr val="bg1">
                      <a:lumMod val="7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70-43A8-9490-F7905E0984EC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FF0000"/>
                  </a:gs>
                  <a:gs pos="56000">
                    <a:srgbClr val="C00000"/>
                  </a:gs>
                  <a:gs pos="100000">
                    <a:srgbClr val="FF00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70-43A8-9490-F7905E0984E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70-43A8-9490-F7905E0984EC}"/>
                </c:ext>
              </c:extLst>
            </c:dLbl>
            <c:dLbl>
              <c:idx val="1"/>
              <c:layout>
                <c:manualLayout>
                  <c:x val="5.4286560954074289E-3"/>
                  <c:y val="-4.0255704233292147E-7"/>
                </c:manualLayout>
              </c:layout>
              <c:tx>
                <c:rich>
                  <a:bodyPr rot="0" spcFirstLastPara="1" vertOverflow="clip" horzOverflow="clip" vert="horz" wrap="none" lIns="38100" tIns="19050" rIns="38100" bIns="19050" anchor="ctr" anchorCtr="1">
                    <a:noAutofit/>
                  </a:bodyPr>
                  <a:lstStyle/>
                  <a:p>
                    <a:pPr>
                      <a:defRPr sz="5300" b="1" i="0" u="none" strike="noStrike" kern="1200" cap="none" spc="0" baseline="0">
                        <a:ln w="0"/>
                        <a:solidFill>
                          <a:srgbClr val="C00000"/>
                        </a:solidFill>
                        <a:effectLst>
                          <a:reflection blurRad="6350" stA="53000" endA="300" endPos="35500" dir="5400000" sy="-90000" algn="bl" rotWithShape="0"/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E9610A15-C86C-4196-A269-6B06364CDAF9}" type="VALUE">
                      <a:rPr lang="en-US" sz="3200" b="1" cap="none" spc="0">
                        <a:ln w="0"/>
                        <a:solidFill>
                          <a:srgbClr val="C00000"/>
                        </a:solidFill>
                        <a:effectLst>
                          <a:reflection blurRad="6350" stA="53000" endA="300" endPos="35500" dir="5400000" sy="-90000" algn="bl" rotWithShape="0"/>
                        </a:effectLst>
                      </a:rPr>
                      <a:pPr>
                        <a:defRPr sz="5300" b="1" cap="none" spc="0">
                          <a:ln w="0"/>
                          <a:solidFill>
                            <a:srgbClr val="C00000"/>
                          </a:solidFill>
                          <a:effectLst>
                            <a:reflection blurRad="6350" stA="53000" endA="300" endPos="35500" dir="5400000" sy="-90000" algn="bl" rotWithShape="0"/>
                          </a:effectLst>
                        </a:defRPr>
                      </a:pPr>
                      <a:t>[VALUE]</a:t>
                    </a:fld>
                    <a:endParaRPr lang="tr-T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5300" b="1" i="0" u="none" strike="noStrike" kern="1200" cap="none" spc="0" baseline="0">
                      <a:ln w="0"/>
                      <a:solidFill>
                        <a:srgbClr val="C00000"/>
                      </a:solidFill>
                      <a:effectLst>
                        <a:reflection blurRad="6350" stA="53000" endA="300" endPos="35500" dir="5400000" sy="-90000" algn="bl" rotWithShape="0"/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99457156090782772"/>
                      <c:h val="0.9998622724078597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E70-43A8-9490-F7905E0984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1" i="0" u="none" strike="noStrike" kern="1200" cap="none" spc="0" baseline="0">
                    <a:ln w="0"/>
                    <a:solidFill>
                      <a:srgbClr val="C00000"/>
                    </a:solidFill>
                    <a:effectLst>
                      <a:reflection blurRad="6350" stA="53000" endA="300" endPos="35500" dir="5400000" sy="-9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'Net İşçilik Kapasite Kaybı'!$V$2:$V$3</c:f>
              <c:numCache>
                <c:formatCode>#,##0.0</c:formatCode>
                <c:ptCount val="2"/>
                <c:pt idx="0">
                  <c:v>14.73454994947863</c:v>
                </c:pt>
                <c:pt idx="1">
                  <c:v>0.26545005052137027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0-43A8-9490-F7905E0984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9559383637973426E-2"/>
          <c:y val="1.500177658834558E-2"/>
          <c:w val="0.95664623733097232"/>
          <c:h val="0.80116550810426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'Açıklanamayan Süre'!$E$8</c:f>
              <c:strCache>
                <c:ptCount val="1"/>
                <c:pt idx="0">
                  <c:v>Aylık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'Açıklanamayan Süre'!$B$9:$B$20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'Açıklanamayan Süre'!$E$9:$E$20</c:f>
              <c:numCache>
                <c:formatCode>0.00</c:formatCode>
                <c:ptCount val="12"/>
                <c:pt idx="0">
                  <c:v>54.779785597869754</c:v>
                </c:pt>
                <c:pt idx="1">
                  <c:v>40.266988000200826</c:v>
                </c:pt>
                <c:pt idx="2">
                  <c:v>33.668454668422413</c:v>
                </c:pt>
                <c:pt idx="3">
                  <c:v>39.274463303107801</c:v>
                </c:pt>
                <c:pt idx="4">
                  <c:v>44.378098622360227</c:v>
                </c:pt>
                <c:pt idx="5">
                  <c:v>38.400780896333181</c:v>
                </c:pt>
                <c:pt idx="6">
                  <c:v>57.719893864386442</c:v>
                </c:pt>
                <c:pt idx="7">
                  <c:v>53.075273401852108</c:v>
                </c:pt>
                <c:pt idx="8">
                  <c:v>39.597977204126686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2-4F89-A8CF-D3127B4D6EF9}"/>
            </c:ext>
          </c:extLst>
        </c:ser>
        <c:ser>
          <c:idx val="1"/>
          <c:order val="1"/>
          <c:tx>
            <c:strRef>
              <c:f>'Açıklanamayan Süre'!$G$8</c:f>
              <c:strCache>
                <c:ptCount val="1"/>
                <c:pt idx="0">
                  <c:v>Kümülatif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'Açıklanamayan Süre'!$B$9:$B$20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'Açıklanamayan Süre'!$G$9:$G$20</c:f>
              <c:numCache>
                <c:formatCode>0.00</c:formatCode>
                <c:ptCount val="12"/>
                <c:pt idx="0">
                  <c:v>54.779785597869754</c:v>
                </c:pt>
                <c:pt idx="1">
                  <c:v>47.039176052830307</c:v>
                </c:pt>
                <c:pt idx="2">
                  <c:v>42.036180382377381</c:v>
                </c:pt>
                <c:pt idx="3">
                  <c:v>41.326274503944525</c:v>
                </c:pt>
                <c:pt idx="4">
                  <c:v>41.90370558816344</c:v>
                </c:pt>
                <c:pt idx="5">
                  <c:v>41.286018383166109</c:v>
                </c:pt>
                <c:pt idx="6">
                  <c:v>43.761799631903742</c:v>
                </c:pt>
                <c:pt idx="7">
                  <c:v>45.241127875739757</c:v>
                </c:pt>
                <c:pt idx="8">
                  <c:v>44.470160386116611</c:v>
                </c:pt>
                <c:pt idx="9">
                  <c:v>44.470160386116611</c:v>
                </c:pt>
                <c:pt idx="10">
                  <c:v>44.470160386116611</c:v>
                </c:pt>
                <c:pt idx="11">
                  <c:v>44.470160386116611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2-4F89-A8CF-D3127B4D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"/>
        <c:axId val="330425648"/>
        <c:axId val="330422904"/>
      </c:barChart>
      <c:lineChart>
        <c:grouping val="standard"/>
        <c:varyColors val="0"/>
        <c:ser>
          <c:idx val="2"/>
          <c:order val="2"/>
          <c:tx>
            <c:strRef>
              <c:f>'Açıklanamayan Süre'!$H$8</c:f>
              <c:strCache>
                <c:ptCount val="1"/>
                <c:pt idx="0">
                  <c:v>HEDEF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'Açıklanamayan Süre'!$B$9:$B$20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'Açıklanamayan Süre'!$H$9:$H$20</c:f>
              <c:numCache>
                <c:formatCode>0.0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2-4F89-A8CF-D3127B4D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25648"/>
        <c:axId val="330422904"/>
      </c:lineChart>
      <c:catAx>
        <c:axId val="3304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422904"/>
        <c:crosses val="autoZero"/>
        <c:auto val="1"/>
        <c:lblAlgn val="ctr"/>
        <c:lblOffset val="100"/>
        <c:noMultiLvlLbl val="0"/>
      </c:catAx>
      <c:valAx>
        <c:axId val="3304229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3042564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95000"/>
        </a:sys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'Açıklanamayan Süre'!$H$4</c:f>
              <c:strCache>
                <c:ptCount val="1"/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1.3619860780635103E-2"/>
                  <c:y val="9.99477169516962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5585090258076318"/>
                      <c:h val="0.18080779277129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EA3-4B90-8FF8-92AA487CEC1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8EA3-4B90-8FF8-92AA487CEC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'Açıklanamayan Süre'!$G$5:$G$6</c:f>
              <c:numCache>
                <c:formatCode>0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'Açıklanamayan Süre'!$H$5:$H$6</c:f>
              <c:numCache>
                <c:formatCode>0.0</c:formatCode>
                <c:ptCount val="2"/>
                <c:pt idx="0">
                  <c:v>10.5</c:v>
                </c:pt>
                <c:pt idx="1">
                  <c:v>44.470160386116611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C-4A1A-9D5B-A81764F015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14"/>
        <c:axId val="330418984"/>
        <c:axId val="330424472"/>
      </c:barChart>
      <c:catAx>
        <c:axId val="330418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424472"/>
        <c:crosses val="autoZero"/>
        <c:auto val="1"/>
        <c:lblAlgn val="ctr"/>
        <c:lblOffset val="100"/>
        <c:noMultiLvlLbl val="0"/>
      </c:catAx>
      <c:valAx>
        <c:axId val="330424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3041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81490168338886"/>
          <c:y val="0.10795350972773311"/>
          <c:w val="0.71820920434591062"/>
          <c:h val="0.79321799853347308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gradFill flip="none" rotWithShape="1">
                <a:gsLst>
                  <a:gs pos="0">
                    <a:schemeClr val="tx1">
                      <a:lumMod val="50000"/>
                      <a:lumOff val="50000"/>
                    </a:schemeClr>
                  </a:gs>
                  <a:gs pos="30000">
                    <a:schemeClr val="bg1">
                      <a:lumMod val="65000"/>
                    </a:schemeClr>
                  </a:gs>
                  <a:gs pos="59000">
                    <a:schemeClr val="bg1">
                      <a:lumMod val="7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9-4D5C-BB49-FDBEF3A576F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FF0000"/>
                  </a:gs>
                  <a:gs pos="56000">
                    <a:srgbClr val="C00000"/>
                  </a:gs>
                  <a:gs pos="100000">
                    <a:srgbClr val="FF00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9-4D5C-BB49-FDBEF3A576F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9-4D5C-BB49-FDBEF3A576FB}"/>
                </c:ext>
              </c:extLst>
            </c:dLbl>
            <c:dLbl>
              <c:idx val="1"/>
              <c:layout>
                <c:manualLayout>
                  <c:x val="0.12416047065324262"/>
                  <c:y val="1.3786288447036166E-4"/>
                </c:manualLayout>
              </c:layout>
              <c:tx>
                <c:rich>
                  <a:bodyPr rot="0" spcFirstLastPara="1" vertOverflow="clip" horzOverflow="clip" vert="horz" wrap="none" lIns="38100" tIns="19050" rIns="38100" bIns="19050" anchor="ctr" anchorCtr="1">
                    <a:noAutofit/>
                  </a:bodyPr>
                  <a:lstStyle/>
                  <a:p>
                    <a:pPr>
                      <a:defRPr sz="5300" b="1" i="0" u="none" strike="noStrike" kern="1200" cap="none" spc="0" baseline="0">
                        <a:ln w="0"/>
                        <a:solidFill>
                          <a:srgbClr val="C00000"/>
                        </a:solidFill>
                        <a:effectLst>
                          <a:reflection blurRad="6350" stA="53000" endA="300" endPos="35500" dir="5400000" sy="-90000" algn="bl" rotWithShape="0"/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C39C6204-E008-4846-ADC9-782194EB2383}" type="VALUE">
                      <a:rPr lang="en-US" sz="3200" b="1" cap="none" spc="0">
                        <a:ln w="0"/>
                        <a:solidFill>
                          <a:srgbClr val="C00000"/>
                        </a:solidFill>
                        <a:effectLst>
                          <a:reflection blurRad="6350" stA="53000" endA="300" endPos="35500" dir="5400000" sy="-90000" algn="bl" rotWithShape="0"/>
                        </a:effectLst>
                      </a:rPr>
                      <a:pPr>
                        <a:defRPr sz="5300" b="1" cap="none" spc="0">
                          <a:ln w="0"/>
                          <a:solidFill>
                            <a:srgbClr val="C00000"/>
                          </a:solidFill>
                          <a:effectLst>
                            <a:reflection blurRad="6350" stA="53000" endA="300" endPos="35500" dir="5400000" sy="-90000" algn="bl" rotWithShape="0"/>
                          </a:effectLst>
                        </a:defRPr>
                      </a:pPr>
                      <a:t>[VALUE]</a:t>
                    </a:fld>
                    <a:endParaRPr lang="tr-TR"/>
                  </a:p>
                </c:rich>
              </c:tx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5300" b="1" i="0" u="none" strike="noStrike" kern="1200" cap="none" spc="0" baseline="0">
                      <a:ln w="0"/>
                      <a:solidFill>
                        <a:srgbClr val="C00000"/>
                      </a:solidFill>
                      <a:effectLst>
                        <a:reflection blurRad="6350" stA="53000" endA="300" endPos="35500" dir="5400000" sy="-90000" algn="bl" rotWithShape="0"/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99457156090782772"/>
                      <c:h val="0.9998622724078597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29-4D5C-BB49-FDBEF3A576F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1" i="0" u="none" strike="noStrike" kern="1200" cap="none" spc="0" baseline="0">
                    <a:ln w="0"/>
                    <a:solidFill>
                      <a:srgbClr val="C00000"/>
                    </a:solidFill>
                    <a:effectLst>
                      <a:reflection blurRad="6350" stA="53000" endA="300" endPos="35500" dir="5400000" sy="-9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'Açıklanamayan Süre'!$Y$2:$Y$3</c:f>
              <c:numCache>
                <c:formatCode>#,##0.00</c:formatCode>
                <c:ptCount val="2"/>
                <c:pt idx="0">
                  <c:v>-34.470160386116611</c:v>
                </c:pt>
                <c:pt idx="1">
                  <c:v>44.470160386116611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9-4D5C-BB49-FDBEF3A576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66339</xdr:colOff>
      <xdr:row>7</xdr:row>
      <xdr:rowOff>251011</xdr:rowOff>
    </xdr:from>
    <xdr:to>
      <xdr:col>26</xdr:col>
      <xdr:colOff>190499</xdr:colOff>
      <xdr:row>25</xdr:row>
      <xdr:rowOff>51098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82104</xdr:colOff>
      <xdr:row>7</xdr:row>
      <xdr:rowOff>53788</xdr:rowOff>
    </xdr:from>
    <xdr:to>
      <xdr:col>12</xdr:col>
      <xdr:colOff>0</xdr:colOff>
      <xdr:row>22</xdr:row>
      <xdr:rowOff>22860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234205</xdr:colOff>
      <xdr:row>2</xdr:row>
      <xdr:rowOff>201707</xdr:rowOff>
    </xdr:from>
    <xdr:to>
      <xdr:col>26</xdr:col>
      <xdr:colOff>322171</xdr:colOff>
      <xdr:row>8</xdr:row>
      <xdr:rowOff>229162</xdr:rowOff>
    </xdr:to>
    <xdr:graphicFrame macro="">
      <xdr:nvGraphicFramePr>
        <xdr:cNvPr id="4" name="grfGelirYzd" descr="Harcanan gelirin yüzdesini gösteren halka grafik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463027</xdr:colOff>
      <xdr:row>8</xdr:row>
      <xdr:rowOff>144332</xdr:rowOff>
    </xdr:from>
    <xdr:to>
      <xdr:col>32</xdr:col>
      <xdr:colOff>464372</xdr:colOff>
      <xdr:row>17</xdr:row>
      <xdr:rowOff>234764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Bölüm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ölü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7851" y="1946238"/>
              <a:ext cx="1830145" cy="25109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427169</xdr:colOff>
      <xdr:row>8</xdr:row>
      <xdr:rowOff>144331</xdr:rowOff>
    </xdr:from>
    <xdr:to>
      <xdr:col>29</xdr:col>
      <xdr:colOff>427169</xdr:colOff>
      <xdr:row>17</xdr:row>
      <xdr:rowOff>234763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Birim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iri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50963" y="1926066"/>
              <a:ext cx="1815353" cy="2510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53341</xdr:colOff>
      <xdr:row>6</xdr:row>
      <xdr:rowOff>38100</xdr:rowOff>
    </xdr:from>
    <xdr:to>
      <xdr:col>24</xdr:col>
      <xdr:colOff>114301</xdr:colOff>
      <xdr:row>23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55658</xdr:colOff>
      <xdr:row>7</xdr:row>
      <xdr:rowOff>53340</xdr:rowOff>
    </xdr:from>
    <xdr:to>
      <xdr:col>11</xdr:col>
      <xdr:colOff>397233</xdr:colOff>
      <xdr:row>21</xdr:row>
      <xdr:rowOff>22860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114300</xdr:colOff>
      <xdr:row>3</xdr:row>
      <xdr:rowOff>38100</xdr:rowOff>
    </xdr:from>
    <xdr:to>
      <xdr:col>24</xdr:col>
      <xdr:colOff>236220</xdr:colOff>
      <xdr:row>8</xdr:row>
      <xdr:rowOff>228600</xdr:rowOff>
    </xdr:to>
    <xdr:graphicFrame macro="">
      <xdr:nvGraphicFramePr>
        <xdr:cNvPr id="4" name="grfGelirYzd" descr="Harcanan gelirin yüzdesini gösteren halka grafik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561638</xdr:colOff>
      <xdr:row>8</xdr:row>
      <xdr:rowOff>182881</xdr:rowOff>
    </xdr:from>
    <xdr:to>
      <xdr:col>30</xdr:col>
      <xdr:colOff>562983</xdr:colOff>
      <xdr:row>18</xdr:row>
      <xdr:rowOff>26783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Bölüm 1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ölü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298" y="1981201"/>
              <a:ext cx="1830145" cy="25109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106680</xdr:colOff>
      <xdr:row>8</xdr:row>
      <xdr:rowOff>173355</xdr:rowOff>
    </xdr:from>
    <xdr:to>
      <xdr:col>27</xdr:col>
      <xdr:colOff>487680</xdr:colOff>
      <xdr:row>18</xdr:row>
      <xdr:rowOff>17257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Birim 1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iri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2540" y="1971675"/>
              <a:ext cx="1828800" cy="25109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388776</xdr:colOff>
      <xdr:row>7</xdr:row>
      <xdr:rowOff>272143</xdr:rowOff>
    </xdr:from>
    <xdr:to>
      <xdr:col>25</xdr:col>
      <xdr:colOff>217714</xdr:colOff>
      <xdr:row>24</xdr:row>
      <xdr:rowOff>49142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48504</xdr:colOff>
      <xdr:row>7</xdr:row>
      <xdr:rowOff>15551</xdr:rowOff>
    </xdr:from>
    <xdr:to>
      <xdr:col>12</xdr:col>
      <xdr:colOff>387746</xdr:colOff>
      <xdr:row>22</xdr:row>
      <xdr:rowOff>85530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52406</xdr:colOff>
      <xdr:row>2</xdr:row>
      <xdr:rowOff>54428</xdr:rowOff>
    </xdr:from>
    <xdr:to>
      <xdr:col>25</xdr:col>
      <xdr:colOff>412102</xdr:colOff>
      <xdr:row>8</xdr:row>
      <xdr:rowOff>54428</xdr:rowOff>
    </xdr:to>
    <xdr:graphicFrame macro="">
      <xdr:nvGraphicFramePr>
        <xdr:cNvPr id="4" name="grfGelirYzd" descr="Harcanan gelirin yüzdesini gösteren halka grafik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76291</xdr:colOff>
      <xdr:row>9</xdr:row>
      <xdr:rowOff>217716</xdr:rowOff>
    </xdr:from>
    <xdr:to>
      <xdr:col>32</xdr:col>
      <xdr:colOff>86967</xdr:colOff>
      <xdr:row>19</xdr:row>
      <xdr:rowOff>84944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Bölüm 2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ölüm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87556" y="2278226"/>
              <a:ext cx="1830145" cy="25109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256592</xdr:colOff>
      <xdr:row>9</xdr:row>
      <xdr:rowOff>217715</xdr:rowOff>
    </xdr:from>
    <xdr:to>
      <xdr:col>29</xdr:col>
      <xdr:colOff>40433</xdr:colOff>
      <xdr:row>19</xdr:row>
      <xdr:rowOff>84943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Birim 2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irim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2898" y="2278225"/>
              <a:ext cx="1828800" cy="25109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260009</xdr:colOff>
      <xdr:row>3</xdr:row>
      <xdr:rowOff>133351</xdr:rowOff>
    </xdr:from>
    <xdr:to>
      <xdr:col>32</xdr:col>
      <xdr:colOff>76200</xdr:colOff>
      <xdr:row>17</xdr:row>
      <xdr:rowOff>57150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255020001134\genel%20yedek%2007.06.2013\2.%20YALIN%20ENST&#304;T&#220;%20&#199;ALI&#350;MALARI\2016%20yal&#305;n\2016%20Yal&#305;n-5.2%20ma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1.19\Users\2.%20YALIN%20ENST&#304;T&#220;%20&#199;ALI&#350;MALARI\2013%20yal&#305;n\yal&#305;n%206%20mak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EP"/>
      <sheetName val="TOPLAM"/>
      <sheetName val="UST SASE"/>
      <sheetName val="PALETLİ ALT ŞASE"/>
      <sheetName val="LASTİKLİ ALT ŞASE"/>
      <sheetName val="BOM"/>
      <sheetName val="KEPÇE+PROTOTİP"/>
      <sheetName val="ARM"/>
      <sheetName val="5. KISIM KEPÇE"/>
      <sheetName val="TESİSATHANE"/>
      <sheetName val="PARÇA İMALAT"/>
      <sheetName val="Loader"/>
      <sheetName val="PARÇA İMALAT-ARKA AĞIRLIK"/>
      <sheetName val="İŞLEME MERKEZİ"/>
      <sheetName val="ROBOT"/>
      <sheetName val="GENEL"/>
      <sheetName val="ROBOT TOPLAM"/>
      <sheetName val="İŞLEME"/>
      <sheetName val="11AS01"/>
      <sheetName val="11AS02."/>
      <sheetName val="11AS03"/>
      <sheetName val="11AS04"/>
      <sheetName val="11AS05"/>
      <sheetName val="11AS06"/>
      <sheetName val="11AS07"/>
      <sheetName val="11AS08"/>
      <sheetName val="11AS09"/>
      <sheetName val="11AS10"/>
      <sheetName val="11AS11"/>
      <sheetName val="11AS12"/>
      <sheetName val="11AS13."/>
      <sheetName val="11AS14"/>
      <sheetName val="11AS15"/>
    </sheetNames>
    <sheetDataSet>
      <sheetData sheetId="0">
        <row r="5">
          <cell r="O5">
            <v>1.1200000000000001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ep"/>
      <sheetName val="BOM"/>
      <sheetName val="ARM"/>
      <sheetName val="KEPÇE"/>
      <sheetName val="UST SASE"/>
      <sheetName val="ALT ŞASE"/>
      <sheetName val="P.ALT ŞASE"/>
      <sheetName val="L.ALT ŞASE"/>
      <sheetName val="KAYNAKLI İMALAT"/>
      <sheetName val="12IM01"/>
      <sheetName val="12IM02"/>
      <sheetName val="12IM03"/>
      <sheetName val="12IM06"/>
      <sheetName val="12IM07"/>
      <sheetName val="12IM09"/>
      <sheetName val="12IM10"/>
      <sheetName val="11KR01"/>
      <sheetName val="11KR02"/>
      <sheetName val="11KR03"/>
      <sheetName val="11KR04"/>
      <sheetName val="11KR05"/>
      <sheetName val="11KR06"/>
      <sheetName val="11KR07"/>
      <sheetName val="11KR08"/>
      <sheetName val="11KR09"/>
      <sheetName val="11KR10"/>
      <sheetName val="KÜÇÜK KAYNAKLI DETAYI"/>
    </sheetNames>
    <sheetDataSet>
      <sheetData sheetId="0">
        <row r="5">
          <cell r="I5">
            <v>1.1100000000000001</v>
          </cell>
        </row>
        <row r="7">
          <cell r="I7">
            <v>1.06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ra Unlu" refreshedDate="44489.413232754632" createdVersion="6" refreshedVersion="6" minRefreshableVersion="3" recordCount="199" xr:uid="{00000000-000A-0000-FFFF-FFFFAC000000}">
  <cacheSource type="worksheet">
    <worksheetSource name="Tablo142"/>
  </cacheSource>
  <cacheFields count="28">
    <cacheField name="Ay" numFmtId="0">
      <sharedItems count="12">
        <s v="Ocak"/>
        <s v="Şubat"/>
        <s v="Mart"/>
        <s v="Nisan"/>
        <s v="Mayıs"/>
        <s v="Haziran"/>
        <s v="Temmuz"/>
        <s v="Ağustos"/>
        <s v="Eylül"/>
        <s v="Ekim"/>
        <s v="Kasım"/>
        <s v="Aralık"/>
      </sharedItems>
    </cacheField>
    <cacheField name="Fabrika" numFmtId="0">
      <sharedItems count="2">
        <s v="Fabrika I"/>
        <s v="Fabrika 6"/>
      </sharedItems>
    </cacheField>
    <cacheField name="Birim" numFmtId="0">
      <sharedItems count="2">
        <s v="İmalat"/>
        <s v="Montaj"/>
      </sharedItems>
    </cacheField>
    <cacheField name="Bölüm" numFmtId="0">
      <sharedItems count="20">
        <s v="Alt Şase"/>
        <s v="Üst Şase"/>
        <s v="Bom"/>
        <s v="Arm"/>
        <s v="Loder &amp; Greyder"/>
        <s v="Küçük Kaynaklı"/>
        <s v="Büyük Talaşlı"/>
        <s v="Küçük Talaşlı"/>
        <s v="Robotlar"/>
        <s v="Tesisathane"/>
        <s v="Parça Boyahane"/>
        <s v="Merkez Boyahane"/>
        <s v="Montaj"/>
        <s v="Hortumhane"/>
        <s v="EOL"/>
        <s v="Loader"/>
        <s v="Greyder"/>
        <s v="Toprak Silindir"/>
        <s v="Kepçe Arka Ağırlık"/>
        <s v="Loader + Greyder + Toprak Silindir"/>
      </sharedItems>
    </cacheField>
    <cacheField name="Kapasite" numFmtId="0">
      <sharedItems containsMixedTypes="1" containsNumber="1" minValue="0.76569264069264076" maxValue="121.28161087560299"/>
    </cacheField>
    <cacheField name="Verimlilik_x000a_%" numFmtId="2">
      <sharedItems containsMixedTypes="1" containsNumber="1" minValue="0.76569264069264076" maxValue="109.64919478451279"/>
    </cacheField>
    <cacheField name="Net İşçilik Kapasite Kaybı %" numFmtId="2">
      <sharedItems containsMixedTypes="1" containsNumber="1" minValue="0" maxValue="33.009211873080858"/>
    </cacheField>
    <cacheField name="Açklnmyn Süre %" numFmtId="2">
      <sharedItems containsMixedTypes="1" containsNumber="1" minValue="-21.281610875602983" maxValue="99.234307359307351"/>
    </cacheField>
    <cacheField name="Brüt Kapasite Kaybı  % " numFmtId="164">
      <sharedItems containsBlank="1" containsMixedTypes="1" containsNumber="1" minValue="0.89348695038796144" maxValue="53.167420814479641"/>
    </cacheField>
    <cacheField name="Net Kapasite Direkt" numFmtId="3">
      <sharedItems containsSemiMixedTypes="0" containsString="0" containsNumber="1" minValue="0" maxValue="17807"/>
    </cacheField>
    <cacheField name="Net Kapasite Endirekt" numFmtId="3">
      <sharedItems containsSemiMixedTypes="0" containsString="0" containsNumber="1" minValue="0" maxValue="3153.5"/>
    </cacheField>
    <cacheField name="Fazla Mesai %" numFmtId="2">
      <sharedItems containsMixedTypes="1" containsNumber="1" minValue="7.5902726602800303" maxValue="57.836045810729352"/>
    </cacheField>
    <cacheField name="Ödünç + Üretilen Değer" numFmtId="2">
      <sharedItems containsSemiMixedTypes="0" containsString="0" containsNumber="1" minValue="0" maxValue="9353.2000000000007"/>
    </cacheField>
    <cacheField name="Duruş" numFmtId="1">
      <sharedItems containsSemiMixedTypes="0" containsString="0" containsNumber="1" minValue="0" maxValue="1290"/>
    </cacheField>
    <cacheField name="Toplam Girilen İşçilik" numFmtId="1">
      <sharedItems containsSemiMixedTypes="0" containsString="0" containsNumber="1" minValue="0" maxValue="9353.2000000000007"/>
    </cacheField>
    <cacheField name="Fark (PDKS - Toplam Üretilen Değer)" numFmtId="1">
      <sharedItems containsSemiMixedTypes="0" containsString="0" containsNumber="1" minValue="-727.9375" maxValue="9794.0166666666664"/>
    </cacheField>
    <cacheField name="Operatör_x000a_Direkt" numFmtId="0">
      <sharedItems containsString="0" containsBlank="1" containsNumber="1" containsInteger="1" minValue="4" maxValue="83"/>
    </cacheField>
    <cacheField name="Operatör Endirekt" numFmtId="0">
      <sharedItems containsString="0" containsBlank="1" containsNumber="1" containsInteger="1" minValue="1" maxValue="14"/>
    </cacheField>
    <cacheField name="Brüt Kapasite (Saat) Direkt" numFmtId="0">
      <sharedItems containsString="0" containsBlank="1" containsNumber="1" minValue="221" maxValue="18801"/>
    </cacheField>
    <cacheField name="Brüt Kapasite (Saat) Endirekt" numFmtId="0">
      <sharedItems containsString="0" containsBlank="1" containsNumber="1" minValue="180" maxValue="3280"/>
    </cacheField>
    <cacheField name="İzin / Rapor Direkt" numFmtId="0">
      <sharedItems containsString="0" containsBlank="1" containsNumber="1" minValue="7.5" maxValue="1748.5"/>
    </cacheField>
    <cacheField name="İzin / Rapor Endirekt" numFmtId="0">
      <sharedItems containsString="0" containsBlank="1" containsNumber="1" minValue="0" maxValue="506.5"/>
    </cacheField>
    <cacheField name="Ödünç İşçilik" numFmtId="0">
      <sharedItems containsString="0" containsBlank="1" containsNumber="1" minValue="0.5" maxValue="1660"/>
    </cacheField>
    <cacheField name="Normal Mesai Direkt" numFmtId="0">
      <sharedItems containsString="0" containsBlank="1" containsNumber="1" minValue="564.5" maxValue="14358.5"/>
    </cacheField>
    <cacheField name="Normal Mesai Endirekt" numFmtId="0">
      <sharedItems containsString="0" containsBlank="1" containsNumber="1" minValue="17.5" maxValue="2498.5"/>
    </cacheField>
    <cacheField name="Fazla Mesai Direkt" numFmtId="0">
      <sharedItems containsString="0" containsBlank="1" containsNumber="1" minValue="102.5" maxValue="3448.5"/>
    </cacheField>
    <cacheField name="Fazla Mesai Endirekt" numFmtId="0">
      <sharedItems containsString="0" containsBlank="1" containsNumber="1" minValue="0" maxValue="655"/>
    </cacheField>
    <cacheField name="Üretilen Değer (Sap Verisi)" numFmtId="0">
      <sharedItems containsString="0" containsBlank="1" containsNumber="1" minValue="7.0750000000000002" maxValue="9353.200000000000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ra Unlu" refreshedDate="44489.413276620369" createdVersion="6" refreshedVersion="6" minRefreshableVersion="3" recordCount="802" xr:uid="{00000000-000A-0000-FFFF-FFFFA0000000}">
  <cacheSource type="worksheet">
    <worksheetSource name="Tablo2"/>
  </cacheSource>
  <cacheFields count="16">
    <cacheField name="BÖLÜM" numFmtId="0">
      <sharedItems containsBlank="1" count="17">
        <s v="Alt Şase"/>
        <s v="Üst Şase"/>
        <s v="Bom"/>
        <s v="Arm"/>
        <s v="Loder &amp; Greyder"/>
        <m/>
        <s v="Küçük Kaynaklı"/>
        <s v="Büyük Talaşlı"/>
        <s v="Küçük Talaşlı"/>
        <s v="Robotlar"/>
        <s v="Parça Boyahane"/>
        <s v="Merkez Boyahane"/>
        <s v="Montaj"/>
        <s v="Hortumhane"/>
        <s v="EOL"/>
        <s v="Tesisathane"/>
        <s v="Kepçe Arka Ağırlık"/>
      </sharedItems>
    </cacheField>
    <cacheField name="BEKLEME" numFmtId="0">
      <sharedItems containsBlank="1"/>
    </cacheField>
    <cacheField name="SEBEP OLAN" numFmtId="0">
      <sharedItems containsBlank="1"/>
    </cacheField>
    <cacheField name="Ocak" numFmtId="1">
      <sharedItems containsString="0" containsBlank="1" containsNumber="1" containsInteger="1" minValue="15" maxValue="25920"/>
    </cacheField>
    <cacheField name="Şubat" numFmtId="0">
      <sharedItems containsString="0" containsBlank="1" containsNumber="1" containsInteger="1" minValue="15" maxValue="30240"/>
    </cacheField>
    <cacheField name="Mart" numFmtId="0">
      <sharedItems containsString="0" containsBlank="1" containsNumber="1" containsInteger="1" minValue="15" maxValue="40590"/>
    </cacheField>
    <cacheField name="Nisan" numFmtId="0">
      <sharedItems containsString="0" containsBlank="1" containsNumber="1" containsInteger="1" minValue="15" maxValue="40020"/>
    </cacheField>
    <cacheField name="Mayıs" numFmtId="0">
      <sharedItems containsString="0" containsBlank="1" containsNumber="1" containsInteger="1" minValue="10" maxValue="18320"/>
    </cacheField>
    <cacheField name="Haziran" numFmtId="0">
      <sharedItems containsString="0" containsBlank="1" containsNumber="1" containsInteger="1" minValue="15" maxValue="11860"/>
    </cacheField>
    <cacheField name="Temmuz" numFmtId="0">
      <sharedItems containsString="0" containsBlank="1" containsNumber="1" containsInteger="1" minValue="15" maxValue="12570"/>
    </cacheField>
    <cacheField name="Ağustos" numFmtId="0">
      <sharedItems containsString="0" containsBlank="1" containsNumber="1" containsInteger="1" minValue="0" maxValue="15780"/>
    </cacheField>
    <cacheField name="Eylül" numFmtId="0">
      <sharedItems containsString="0" containsBlank="1" containsNumber="1" containsInteger="1" minValue="0" maxValue="15130"/>
    </cacheField>
    <cacheField name="Ekim" numFmtId="0">
      <sharedItems containsNonDate="0" containsString="0" containsBlank="1"/>
    </cacheField>
    <cacheField name="Kasım" numFmtId="0">
      <sharedItems containsNonDate="0" containsString="0" containsBlank="1"/>
    </cacheField>
    <cacheField name="Aralık" numFmtId="0">
      <sharedItems containsNonDate="0" containsString="0" containsBlank="1"/>
    </cacheField>
    <cacheField name="Toplam" numFmtId="0">
      <sharedItems containsSemiMixedTypes="0" containsString="0" containsNumber="1" containsInteger="1" minValue="0" maxValue="92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n v="85.96170249061754"/>
    <n v="52.952490617536675"/>
    <n v="33.009211873080858"/>
    <n v="14.038297509382467"/>
    <n v="4.0058022762776169"/>
    <n v="3908"/>
    <n v="393.5"/>
    <n v="16.084199163405749"/>
    <n v="2069.3833333333332"/>
    <n v="1290"/>
    <n v="3359.3833333333332"/>
    <n v="548.61666666666679"/>
    <n v="19"/>
    <n v="2"/>
    <n v="4015"/>
    <n v="466"/>
    <n v="107"/>
    <n v="72.5"/>
    <m/>
    <n v="3403"/>
    <n v="302.5"/>
    <n v="505"/>
    <n v="91"/>
    <n v="2069.3833333333332"/>
  </r>
  <r>
    <x v="0"/>
    <x v="0"/>
    <x v="0"/>
    <x v="1"/>
    <n v="105.56574671609684"/>
    <n v="97.64089889697469"/>
    <n v="7.9248478191221565"/>
    <n v="-5.5657467160968483"/>
    <n v="3.5377632957058069"/>
    <n v="3641.5"/>
    <n v="503"/>
    <n v="21.78959741404643"/>
    <n v="3555.5933333333332"/>
    <n v="288.58333333333331"/>
    <n v="3844.1766666666667"/>
    <n v="-202.67666666666673"/>
    <n v="18"/>
    <n v="2"/>
    <n v="3780"/>
    <n v="516.5"/>
    <n v="138.5"/>
    <n v="13.5"/>
    <m/>
    <n v="3041.5"/>
    <n v="361.5"/>
    <n v="600"/>
    <n v="141.5"/>
    <n v="3555.5933333333332"/>
  </r>
  <r>
    <x v="0"/>
    <x v="0"/>
    <x v="0"/>
    <x v="2"/>
    <n v="87.660324266380812"/>
    <n v="83.105408906159269"/>
    <n v="4.5549153602215373"/>
    <n v="12.339675733619186"/>
    <n v="5.4478651970100085"/>
    <n v="3731.5"/>
    <n v="0"/>
    <n v="16.974921630094045"/>
    <n v="3101.0783333333334"/>
    <n v="169.96666666666667"/>
    <n v="3271.0450000000001"/>
    <n v="460.45499999999993"/>
    <n v="19"/>
    <m/>
    <n v="3946.5"/>
    <m/>
    <n v="215"/>
    <m/>
    <n v="115"/>
    <n v="3190"/>
    <m/>
    <n v="541.5"/>
    <m/>
    <n v="2986.0783333333334"/>
  </r>
  <r>
    <x v="0"/>
    <x v="0"/>
    <x v="0"/>
    <x v="3"/>
    <n v="84.068770441085476"/>
    <n v="80.944046671970298"/>
    <n v="3.1247237691151772"/>
    <n v="15.931229558914517"/>
    <n v="0.89348695038796144"/>
    <n v="1885.5"/>
    <n v="222"/>
    <n v="19.846460051179982"/>
    <n v="1526.2"/>
    <n v="58.916666666666664"/>
    <n v="1585.1166666666668"/>
    <n v="300.38333333333321"/>
    <n v="9"/>
    <n v="1"/>
    <n v="1902"/>
    <n v="224.5"/>
    <n v="16.5"/>
    <n v="2.5"/>
    <n v="139"/>
    <n v="1573.5"/>
    <n v="185"/>
    <n v="312"/>
    <n v="37"/>
    <n v="1387.2"/>
  </r>
  <r>
    <x v="0"/>
    <x v="0"/>
    <x v="0"/>
    <x v="4"/>
    <n v="8.035573749682662"/>
    <n v="8.035573749682662"/>
    <n v="0"/>
    <n v="91.964426250317331"/>
    <n v="1.7950635751682871"/>
    <n v="2626"/>
    <n v="0"/>
    <n v="19.255222524977295"/>
    <n v="211.01416666666668"/>
    <n v="0"/>
    <n v="211.01416666666668"/>
    <n v="2414.9858333333332"/>
    <n v="12"/>
    <m/>
    <n v="2674"/>
    <m/>
    <n v="48"/>
    <m/>
    <n v="100"/>
    <n v="2202"/>
    <m/>
    <n v="424"/>
    <m/>
    <n v="111.01416666666668"/>
  </r>
  <r>
    <x v="0"/>
    <x v="0"/>
    <x v="0"/>
    <x v="5"/>
    <n v="65.303994293865912"/>
    <n v="54.131859248692351"/>
    <n v="11.17213504517356"/>
    <n v="34.696005706134088"/>
    <n v="2.9757785467128031"/>
    <n v="1402"/>
    <n v="0"/>
    <n v="29.57486136783734"/>
    <n v="758.9286666666668"/>
    <n v="156.63333333333333"/>
    <n v="915.56200000000013"/>
    <n v="486.43799999999987"/>
    <n v="6"/>
    <m/>
    <n v="1445"/>
    <m/>
    <n v="43"/>
    <m/>
    <m/>
    <n v="1082"/>
    <m/>
    <n v="320"/>
    <m/>
    <n v="758.9286666666668"/>
  </r>
  <r>
    <x v="0"/>
    <x v="0"/>
    <x v="0"/>
    <x v="6"/>
    <n v="74.731982164572344"/>
    <n v="64.24691257938116"/>
    <n v="10.485069585191191"/>
    <n v="25.268017835427635"/>
    <n v="3.6237738026543562"/>
    <n v="2467"/>
    <n v="1708.5"/>
    <n v="21.275050827766485"/>
    <n v="1584.9713333333334"/>
    <n v="258.66666666666669"/>
    <n v="1843.6380000000001"/>
    <n v="623.36199999999985"/>
    <n v="12"/>
    <n v="8"/>
    <n v="2548.5"/>
    <n v="1784"/>
    <n v="81.5"/>
    <n v="75.5"/>
    <m/>
    <n v="2018.5"/>
    <n v="1424.5"/>
    <n v="448.5"/>
    <n v="284"/>
    <n v="1584.9713333333334"/>
  </r>
  <r>
    <x v="0"/>
    <x v="0"/>
    <x v="0"/>
    <x v="7"/>
    <n v="67.578628722382334"/>
    <n v="67.578628722382334"/>
    <n v="0"/>
    <n v="32.421371277617666"/>
    <n v="5.3963278101209138"/>
    <n v="1388"/>
    <n v="724.5"/>
    <n v="34.811742182514358"/>
    <n v="937.99136666666675"/>
    <n v="0"/>
    <n v="937.99136666666675"/>
    <n v="450.00863333333325"/>
    <n v="6"/>
    <n v="3"/>
    <n v="1494"/>
    <n v="739"/>
    <n v="106"/>
    <n v="14.5"/>
    <m/>
    <n v="1019"/>
    <n v="548"/>
    <n v="369"/>
    <n v="176.5"/>
    <n v="937.99136666666675"/>
  </r>
  <r>
    <x v="0"/>
    <x v="0"/>
    <x v="0"/>
    <x v="8"/>
    <n v="82.607478724938701"/>
    <n v="73.8378263378047"/>
    <n v="8.7696523871339966"/>
    <n v="17.392521275061291"/>
    <n v="3.7339353942341091"/>
    <n v="2311"/>
    <n v="460.5"/>
    <n v="16.694736842105261"/>
    <n v="1706.3921666666668"/>
    <n v="202.66666666666666"/>
    <n v="1909.0588333333335"/>
    <n v="401.9411666666665"/>
    <n v="12"/>
    <n v="2"/>
    <n v="2403.5"/>
    <n v="475.5"/>
    <n v="92.5"/>
    <n v="15"/>
    <m/>
    <n v="2015"/>
    <n v="360"/>
    <n v="296"/>
    <n v="100.5"/>
    <n v="1706.3921666666668"/>
  </r>
  <r>
    <x v="0"/>
    <x v="0"/>
    <x v="0"/>
    <x v="9"/>
    <n v="56.863012585532729"/>
    <n v="47.100060483870948"/>
    <n v="9.762952101661778"/>
    <n v="43.136987414467278"/>
    <n v="3.0893821235752847"/>
    <n v="2728"/>
    <n v="503"/>
    <n v="28.112609040444092"/>
    <n v="1284.8896499999994"/>
    <n v="266.33333333333331"/>
    <n v="1551.2229833333326"/>
    <n v="1176.7770166666674"/>
    <n v="12"/>
    <n v="2"/>
    <n v="2825"/>
    <n v="509"/>
    <n v="97"/>
    <n v="6"/>
    <m/>
    <n v="2153"/>
    <n v="369"/>
    <n v="575"/>
    <n v="134"/>
    <n v="1284.8896499999994"/>
  </r>
  <r>
    <x v="0"/>
    <x v="0"/>
    <x v="1"/>
    <x v="10"/>
    <n v="105.3402896712126"/>
    <n v="95.550671318321179"/>
    <n v="9.7896183528914271"/>
    <n v="-5.3402896712126013"/>
    <n v="2.7977044476327118"/>
    <n v="1576.5"/>
    <n v="1133.5"/>
    <n v="24.769797421731123"/>
    <n v="1506.3563333333334"/>
    <n v="154.33333333333334"/>
    <n v="1660.6896666666667"/>
    <n v="-84.189666666666653"/>
    <n v="7"/>
    <n v="5"/>
    <n v="1622.5"/>
    <n v="1165.5"/>
    <n v="46"/>
    <n v="32"/>
    <n v="257.66666666666669"/>
    <n v="1266.5"/>
    <n v="905.5"/>
    <n v="310"/>
    <n v="228"/>
    <n v="1248.6896666666667"/>
  </r>
  <r>
    <x v="0"/>
    <x v="0"/>
    <x v="1"/>
    <x v="11"/>
    <n v="93.941817750918361"/>
    <n v="78.584547932219465"/>
    <n v="15.357269818698899"/>
    <n v="6.0581822490816393"/>
    <n v="3.2834331337325349"/>
    <n v="2813"/>
    <n v="2032.5"/>
    <n v="22.345663426335058"/>
    <n v="2210.5833333333335"/>
    <n v="432"/>
    <n v="2642.5833333333335"/>
    <n v="170.41666666666652"/>
    <n v="13"/>
    <n v="9"/>
    <n v="2915"/>
    <n v="2095"/>
    <n v="102"/>
    <n v="62.5"/>
    <n v="120"/>
    <n v="2335.5"/>
    <n v="1625"/>
    <n v="477.5"/>
    <n v="407.5"/>
    <n v="2090.5833333333335"/>
  </r>
  <r>
    <x v="0"/>
    <x v="0"/>
    <x v="1"/>
    <x v="12"/>
    <n v="45.288586855334202"/>
    <n v="45.288586855334202"/>
    <n v="0"/>
    <n v="54.711413144665798"/>
    <n v="5.2751382013946602"/>
    <n v="10742"/>
    <n v="2366.5"/>
    <n v="19.086986145809675"/>
    <n v="4864.8999999999996"/>
    <n v="0"/>
    <n v="4864.8999999999996"/>
    <n v="5877.1"/>
    <n v="53"/>
    <n v="11"/>
    <n v="11366.5"/>
    <n v="2472"/>
    <n v="624.5"/>
    <n v="105.5"/>
    <m/>
    <n v="9050.5"/>
    <n v="1957"/>
    <n v="1691.5"/>
    <n v="409.5"/>
    <n v="4864.8999999999996"/>
  </r>
  <r>
    <x v="0"/>
    <x v="0"/>
    <x v="1"/>
    <x v="13"/>
    <n v="46.693010752688167"/>
    <n v="46.693010752688167"/>
    <n v="0"/>
    <n v="53.306989247311833"/>
    <n v="3.5236081747709656"/>
    <n v="1116"/>
    <n v="253"/>
    <n v="40.051150895140665"/>
    <n v="521.09399999999994"/>
    <n v="0"/>
    <n v="521.09399999999994"/>
    <n v="594.90600000000006"/>
    <n v="5"/>
    <n v="1"/>
    <n v="1151"/>
    <n v="268"/>
    <n v="35"/>
    <n v="15"/>
    <m/>
    <n v="805"/>
    <n v="172.5"/>
    <n v="311"/>
    <n v="80.5"/>
    <n v="521.09399999999994"/>
  </r>
  <r>
    <x v="0"/>
    <x v="0"/>
    <x v="1"/>
    <x v="14"/>
    <n v="44.327199899862315"/>
    <n v="44.327199899862315"/>
    <n v="0"/>
    <n v="55.672800100137685"/>
    <n v="2.9100191448627952"/>
    <n v="2663"/>
    <n v="1140.5"/>
    <n v="29.767997270556123"/>
    <n v="1180.4333333333334"/>
    <n v="0"/>
    <n v="1180.4333333333334"/>
    <n v="1482.5666666666666"/>
    <n v="12"/>
    <n v="5"/>
    <n v="2723"/>
    <n v="1194.5"/>
    <n v="60"/>
    <n v="54"/>
    <m/>
    <n v="2047.5"/>
    <n v="883.5"/>
    <n v="615.5"/>
    <n v="257"/>
    <n v="1180.4333333333334"/>
  </r>
  <r>
    <x v="1"/>
    <x v="0"/>
    <x v="0"/>
    <x v="0"/>
    <n v="79.785014449848461"/>
    <n v="79.785014449848461"/>
    <n v="0"/>
    <n v="20.21498555015155"/>
    <n v="2.3077650619502506"/>
    <n v="4729"/>
    <n v="435.5"/>
    <n v="34.562272016675351"/>
    <n v="3773.0333333333333"/>
    <n v="0"/>
    <n v="3773.0333333333333"/>
    <n v="955.9666666666667"/>
    <n v="21"/>
    <n v="2"/>
    <n v="4813.5"/>
    <n v="473"/>
    <n v="84.5"/>
    <n v="37.5"/>
    <m/>
    <n v="3515.5"/>
    <n v="322.5"/>
    <n v="1213.5"/>
    <n v="113"/>
    <n v="3773.0333333333333"/>
  </r>
  <r>
    <x v="1"/>
    <x v="0"/>
    <x v="0"/>
    <x v="1"/>
    <n v="92.115065243179131"/>
    <n v="90.728647686832744"/>
    <n v="1.3864175563463821"/>
    <n v="7.8849347568208676"/>
    <n v="1.4009471191791634"/>
    <n v="4496"/>
    <n v="501"/>
    <n v="36.381004366812228"/>
    <n v="4079.1600000000003"/>
    <n v="62.333333333333336"/>
    <n v="4141.4933333333338"/>
    <n v="354.50666666666621"/>
    <n v="19"/>
    <n v="2"/>
    <n v="4550.5"/>
    <n v="517.5"/>
    <n v="54.5"/>
    <n v="16.5"/>
    <m/>
    <n v="3320.5"/>
    <n v="343.5"/>
    <n v="1175.5"/>
    <n v="157.5"/>
    <n v="4079.1600000000003"/>
  </r>
  <r>
    <x v="1"/>
    <x v="0"/>
    <x v="0"/>
    <x v="2"/>
    <n v="86.94297933000712"/>
    <n v="85.762968242654622"/>
    <n v="1.1800110873524985"/>
    <n v="13.057020669992877"/>
    <n v="4.0465063262282008"/>
    <n v="4209"/>
    <n v="0"/>
    <n v="29.807247494217425"/>
    <n v="3609.7633333333333"/>
    <n v="49.666666666666664"/>
    <n v="3659.43"/>
    <n v="549.57000000000016"/>
    <n v="19"/>
    <m/>
    <n v="4386.5"/>
    <m/>
    <n v="177.5"/>
    <m/>
    <m/>
    <n v="3242.5"/>
    <m/>
    <n v="966.5"/>
    <m/>
    <n v="3609.7633333333333"/>
  </r>
  <r>
    <x v="1"/>
    <x v="0"/>
    <x v="0"/>
    <x v="3"/>
    <n v="86.550760378134001"/>
    <n v="84.646389916426912"/>
    <n v="1.9043704617070834"/>
    <n v="13.449239621866003"/>
    <n v="1.1979695431472082"/>
    <n v="2433"/>
    <n v="0"/>
    <n v="30.771298038161781"/>
    <n v="2059.4466666666667"/>
    <n v="46.333333333333336"/>
    <n v="2105.7800000000002"/>
    <n v="327.2199999999998"/>
    <n v="11"/>
    <m/>
    <n v="2462.5"/>
    <m/>
    <n v="29.5"/>
    <m/>
    <m/>
    <n v="1860.5"/>
    <m/>
    <n v="572.5"/>
    <m/>
    <n v="2059.4466666666667"/>
  </r>
  <r>
    <x v="1"/>
    <x v="0"/>
    <x v="0"/>
    <x v="4"/>
    <n v="89.542971147943533"/>
    <n v="89.542971147943533"/>
    <n v="0"/>
    <n v="10.457028852056476"/>
    <n v="3.3635878270154831"/>
    <n v="2715"/>
    <n v="0"/>
    <n v="31.445170660856935"/>
    <n v="2431.0916666666667"/>
    <n v="0"/>
    <n v="2431.0916666666667"/>
    <n v="283.9083333333333"/>
    <n v="12"/>
    <m/>
    <n v="2809.5"/>
    <m/>
    <n v="94.5"/>
    <m/>
    <n v="1660"/>
    <n v="2065.5"/>
    <m/>
    <n v="649.5"/>
    <m/>
    <n v="771.0916666666667"/>
  </r>
  <r>
    <x v="1"/>
    <x v="0"/>
    <x v="0"/>
    <x v="5"/>
    <n v="90.207218271924148"/>
    <n v="77.88767507002801"/>
    <n v="12.319543201896144"/>
    <n v="9.7927817280758589"/>
    <n v="4.3585780525502322"/>
    <n v="1547"/>
    <n v="0"/>
    <n v="30.05464480874317"/>
    <n v="1204.9223333333332"/>
    <n v="190.58333333333334"/>
    <n v="1395.5056666666665"/>
    <n v="151.49433333333354"/>
    <n v="7"/>
    <m/>
    <n v="1617.5"/>
    <m/>
    <n v="70.5"/>
    <m/>
    <m/>
    <n v="1189.5"/>
    <m/>
    <n v="357.5"/>
    <m/>
    <n v="1204.9223333333332"/>
  </r>
  <r>
    <x v="1"/>
    <x v="0"/>
    <x v="0"/>
    <x v="6"/>
    <n v="76.456609535066988"/>
    <n v="70.098256501182036"/>
    <n v="6.3583530338849492"/>
    <n v="23.543390464933022"/>
    <n v="4.1505083324599097"/>
    <n v="3384"/>
    <n v="1188.5"/>
    <n v="34.406231628453845"/>
    <n v="2372.125"/>
    <n v="215.16666666666666"/>
    <n v="2587.2916666666665"/>
    <n v="796.70833333333348"/>
    <n v="14"/>
    <n v="6"/>
    <n v="3503"/>
    <n v="1267.5"/>
    <n v="119"/>
    <n v="79"/>
    <m/>
    <n v="2401"/>
    <n v="1001"/>
    <n v="983"/>
    <n v="187.5"/>
    <n v="2372.125"/>
  </r>
  <r>
    <x v="1"/>
    <x v="0"/>
    <x v="0"/>
    <x v="7"/>
    <n v="109.64919478451279"/>
    <n v="109.64919478451279"/>
    <n v="0"/>
    <n v="-9.649194784512785"/>
    <n v="3.902652926989695"/>
    <n v="1674.5"/>
    <n v="517"/>
    <n v="43.141737426518617"/>
    <n v="1836.0757666666666"/>
    <n v="0"/>
    <n v="1836.0757666666666"/>
    <n v="-161.5757666666666"/>
    <n v="7"/>
    <n v="2"/>
    <n v="1763.5"/>
    <n v="517"/>
    <n v="89"/>
    <n v="0"/>
    <m/>
    <n v="1171"/>
    <n v="360"/>
    <n v="503.5"/>
    <n v="157"/>
    <n v="1836.0757666666666"/>
  </r>
  <r>
    <x v="1"/>
    <x v="0"/>
    <x v="0"/>
    <x v="8"/>
    <n v="120.71455035365442"/>
    <n v="98.642023127876939"/>
    <n v="22.072527225777481"/>
    <n v="-20.714550353654424"/>
    <n v="5.1521298174442194"/>
    <n v="2969"/>
    <n v="538"/>
    <n v="30.395984383714449"/>
    <n v="2928.6816666666664"/>
    <n v="655.33333333333337"/>
    <n v="3584.0149999999999"/>
    <n v="-615.01499999999987"/>
    <n v="14"/>
    <n v="2"/>
    <n v="3159.5"/>
    <n v="538"/>
    <n v="190.5"/>
    <n v="0"/>
    <m/>
    <n v="2329.5"/>
    <n v="360"/>
    <n v="639.5"/>
    <n v="178"/>
    <n v="2928.6816666666664"/>
  </r>
  <r>
    <x v="1"/>
    <x v="0"/>
    <x v="0"/>
    <x v="9"/>
    <n v="69.663385826771659"/>
    <n v="59.212598425196852"/>
    <n v="10.450787401574804"/>
    <n v="30.336614173228345"/>
    <n v="4.203013481363997"/>
    <n v="2540"/>
    <n v="480"/>
    <n v="26.492146596858639"/>
    <n v="1504"/>
    <n v="265.45"/>
    <n v="1769.45"/>
    <n v="770.55"/>
    <n v="12"/>
    <n v="2"/>
    <n v="2659.5"/>
    <n v="493"/>
    <n v="119.5"/>
    <n v="13"/>
    <m/>
    <n v="2040.5"/>
    <n v="347"/>
    <n v="499.5"/>
    <n v="133"/>
    <n v="1504"/>
  </r>
  <r>
    <x v="1"/>
    <x v="0"/>
    <x v="1"/>
    <x v="10"/>
    <n v="73.727102803738319"/>
    <n v="62.379750778816202"/>
    <n v="11.34735202492212"/>
    <n v="26.272897196261685"/>
    <n v="3.9317507418397621"/>
    <n v="2140"/>
    <n v="450"/>
    <n v="26.095423563777992"/>
    <n v="1334.9266666666667"/>
    <n v="242.83333333333334"/>
    <n v="1577.76"/>
    <n v="562.24"/>
    <n v="10"/>
    <n v="2"/>
    <n v="2238"/>
    <n v="458"/>
    <n v="98"/>
    <n v="8"/>
    <n v="315"/>
    <n v="1702"/>
    <n v="352"/>
    <n v="438"/>
    <n v="98"/>
    <n v="1019.9266666666666"/>
  </r>
  <r>
    <x v="1"/>
    <x v="0"/>
    <x v="1"/>
    <x v="11"/>
    <n v="87.630757220921154"/>
    <n v="81.073380171740823"/>
    <n v="6.557377049180328"/>
    <n v="12.369242779078842"/>
    <n v="2.6583268178264268"/>
    <n v="3843"/>
    <n v="1137"/>
    <n v="30.230125523012553"/>
    <n v="3115.65"/>
    <n v="252"/>
    <n v="3367.65"/>
    <n v="475.34999999999991"/>
    <n v="17"/>
    <n v="5"/>
    <n v="3927"/>
    <n v="1189"/>
    <n v="84"/>
    <n v="52"/>
    <m/>
    <n v="2976"/>
    <n v="848"/>
    <n v="867"/>
    <n v="289"/>
    <n v="3115.65"/>
  </r>
  <r>
    <x v="1"/>
    <x v="0"/>
    <x v="1"/>
    <x v="12"/>
    <n v="60.930123678358243"/>
    <n v="60.930123678358243"/>
    <n v="0"/>
    <n v="39.069876321641757"/>
    <n v="1.8715837542378746"/>
    <n v="12815.5"/>
    <n v="1367"/>
    <n v="25.071652189249967"/>
    <n v="7808.5"/>
    <n v="0"/>
    <n v="7808.5"/>
    <n v="5007"/>
    <n v="59"/>
    <n v="6"/>
    <n v="13052.5"/>
    <n v="1400.5"/>
    <n v="237"/>
    <n v="33.5"/>
    <m/>
    <n v="10293"/>
    <n v="1046.5"/>
    <n v="2522.5"/>
    <n v="320.5"/>
    <n v="7808.5"/>
  </r>
  <r>
    <x v="1"/>
    <x v="0"/>
    <x v="1"/>
    <x v="13"/>
    <n v="75.417691857059168"/>
    <n v="75.417691857059168"/>
    <n v="0"/>
    <n v="24.582308142940832"/>
    <n v="5.1583066524368553"/>
    <n v="1138"/>
    <n v="195"/>
    <n v="32.307692307692307"/>
    <n v="858.25333333333333"/>
    <n v="0"/>
    <n v="858.25333333333333"/>
    <n v="279.74666666666667"/>
    <n v="5"/>
    <n v="1"/>
    <n v="1179"/>
    <n v="226.5"/>
    <n v="41"/>
    <n v="31.5"/>
    <m/>
    <n v="859"/>
    <n v="148.5"/>
    <n v="279"/>
    <n v="46.5"/>
    <n v="858.25333333333333"/>
  </r>
  <r>
    <x v="1"/>
    <x v="0"/>
    <x v="1"/>
    <x v="14"/>
    <n v="47.179778113968737"/>
    <n v="47.179778113968737"/>
    <n v="0"/>
    <n v="52.820221886031263"/>
    <n v="2.2386128364389233"/>
    <n v="2644"/>
    <n v="1133.5"/>
    <n v="27.038843114175215"/>
    <n v="1247.4333333333334"/>
    <n v="0"/>
    <n v="1247.4333333333334"/>
    <n v="1396.5666666666666"/>
    <n v="12"/>
    <n v="5"/>
    <n v="2722.5"/>
    <n v="1141.5"/>
    <n v="78.5"/>
    <n v="8"/>
    <m/>
    <n v="2081.5"/>
    <n v="892"/>
    <n v="562.5"/>
    <n v="241.5"/>
    <n v="1247.4333333333334"/>
  </r>
  <r>
    <x v="2"/>
    <x v="0"/>
    <x v="0"/>
    <x v="0"/>
    <n v="77.429161138139463"/>
    <n v="77.429161138139463"/>
    <n v="0"/>
    <n v="22.57083886186053"/>
    <n v="3.055100927441353"/>
    <n v="5652.5"/>
    <n v="567"/>
    <n v="39.403787963689339"/>
    <n v="4376.6833333333334"/>
    <n v="0"/>
    <n v="4376.6833333333334"/>
    <n v="1275.8166666666666"/>
    <n v="21"/>
    <n v="2"/>
    <n v="5834"/>
    <n v="581.5"/>
    <n v="181.5"/>
    <n v="14.5"/>
    <m/>
    <n v="4071"/>
    <n v="390.5"/>
    <n v="1581.5"/>
    <n v="176.5"/>
    <n v="4376.6833333333334"/>
  </r>
  <r>
    <x v="2"/>
    <x v="0"/>
    <x v="0"/>
    <x v="1"/>
    <n v="83.026750218987942"/>
    <n v="77.439188733912815"/>
    <n v="5.5875614850751303"/>
    <n v="16.973249781012068"/>
    <n v="3.5854488353834078"/>
    <n v="4947"/>
    <n v="579"/>
    <n v="36.545589325426242"/>
    <n v="3830.9166666666665"/>
    <n v="276.41666666666669"/>
    <n v="4107.333333333333"/>
    <n v="839.66666666666697"/>
    <n v="19"/>
    <n v="2"/>
    <n v="5135.5"/>
    <n v="596"/>
    <n v="188.5"/>
    <n v="17"/>
    <m/>
    <n v="3659"/>
    <n v="388"/>
    <n v="1288"/>
    <n v="191"/>
    <n v="3830.9166666666665"/>
  </r>
  <r>
    <x v="2"/>
    <x v="0"/>
    <x v="0"/>
    <x v="2"/>
    <n v="85.124387957078866"/>
    <n v="80.408618953363202"/>
    <n v="4.715769003715665"/>
    <n v="14.875612042921126"/>
    <n v="3.7501253384137172"/>
    <n v="4799.5"/>
    <n v="0"/>
    <n v="31.115967763966673"/>
    <n v="3859.211666666667"/>
    <n v="226.33333333333334"/>
    <n v="4085.5450000000005"/>
    <n v="713.95499999999947"/>
    <n v="19"/>
    <m/>
    <n v="4986.5"/>
    <m/>
    <n v="187"/>
    <m/>
    <m/>
    <n v="3660.5"/>
    <m/>
    <n v="1139"/>
    <m/>
    <n v="3859.211666666667"/>
  </r>
  <r>
    <x v="2"/>
    <x v="0"/>
    <x v="0"/>
    <x v="3"/>
    <n v="92.690730999455837"/>
    <n v="83.987060886389756"/>
    <n v="8.703670113066087"/>
    <n v="7.3092690005441687"/>
    <n v="4.5037242335007797"/>
    <n v="2756.5"/>
    <n v="0"/>
    <n v="31.418355184743739"/>
    <n v="2315.1033333333335"/>
    <n v="239.91666666666666"/>
    <n v="2555.02"/>
    <n v="201.48000000000002"/>
    <n v="11"/>
    <m/>
    <n v="2886.5"/>
    <m/>
    <n v="130"/>
    <m/>
    <m/>
    <n v="2097.5"/>
    <m/>
    <n v="659"/>
    <m/>
    <n v="2315.1033333333335"/>
  </r>
  <r>
    <x v="2"/>
    <x v="0"/>
    <x v="0"/>
    <x v="4"/>
    <n v="76.464395836811917"/>
    <n v="76.197239383313843"/>
    <n v="0.26715645349807982"/>
    <n v="23.535604163188076"/>
    <n v="3.0278497409326426"/>
    <n v="2994.5"/>
    <n v="0"/>
    <n v="28.161780440830302"/>
    <n v="2281.7263333333331"/>
    <n v="8"/>
    <n v="2289.7263333333331"/>
    <n v="704.77366666666694"/>
    <n v="12"/>
    <m/>
    <n v="3088"/>
    <m/>
    <n v="93.5"/>
    <m/>
    <n v="780"/>
    <n v="2336.5"/>
    <m/>
    <n v="658"/>
    <m/>
    <n v="1501.7263333333333"/>
  </r>
  <r>
    <x v="2"/>
    <x v="0"/>
    <x v="0"/>
    <x v="5"/>
    <n v="79.871624867877372"/>
    <n v="66.637263380417011"/>
    <n v="13.234361487460363"/>
    <n v="20.128375132122631"/>
    <n v="4.750137287204832"/>
    <n v="1734.5"/>
    <n v="0"/>
    <n v="30.315552216378659"/>
    <n v="1155.823333333333"/>
    <n v="229.55"/>
    <n v="1385.373333333333"/>
    <n v="349.12666666666701"/>
    <n v="7"/>
    <m/>
    <n v="1821"/>
    <m/>
    <n v="86.5"/>
    <m/>
    <m/>
    <n v="1331"/>
    <m/>
    <n v="403.5"/>
    <m/>
    <n v="1155.823333333333"/>
  </r>
  <r>
    <x v="2"/>
    <x v="0"/>
    <x v="0"/>
    <x v="6"/>
    <n v="71.564771163492694"/>
    <n v="66.819354552314991"/>
    <n v="4.7454166111776974"/>
    <n v="28.435228836507314"/>
    <n v="3.4148197469799295"/>
    <n v="3754.5"/>
    <n v="1322.5"/>
    <n v="31.17168324505878"/>
    <n v="2508.7326666666663"/>
    <n v="178.16666666666666"/>
    <n v="2686.8993333333328"/>
    <n v="1067.6006666666672"/>
    <n v="14"/>
    <n v="6"/>
    <n v="3845.5"/>
    <n v="1411"/>
    <n v="91"/>
    <n v="88.5"/>
    <m/>
    <n v="2744"/>
    <n v="1126.5"/>
    <n v="1010.5"/>
    <n v="196"/>
    <n v="2508.7326666666663"/>
  </r>
  <r>
    <x v="2"/>
    <x v="0"/>
    <x v="0"/>
    <x v="7"/>
    <n v="86.614860360360353"/>
    <n v="86.614860360360353"/>
    <n v="0"/>
    <n v="13.38513963963964"/>
    <n v="4.0964327714621716"/>
    <n v="1850"/>
    <n v="596.5"/>
    <n v="42.403958090803265"/>
    <n v="1602.3749166666666"/>
    <n v="0"/>
    <n v="1602.3749166666666"/>
    <n v="247.62508333333335"/>
    <n v="7"/>
    <n v="2"/>
    <n v="1947"/>
    <n v="604"/>
    <n v="97"/>
    <n v="7.5"/>
    <m/>
    <n v="1320.5"/>
    <n v="397.5"/>
    <n v="529.5"/>
    <n v="199"/>
    <n v="1602.3749166666666"/>
  </r>
  <r>
    <x v="2"/>
    <x v="0"/>
    <x v="0"/>
    <x v="8"/>
    <n v="121.28161087560299"/>
    <n v="97.783584271305372"/>
    <n v="23.498026604297618"/>
    <n v="-21.281610875602983"/>
    <n v="5.4633227363711292"/>
    <n v="3420.5"/>
    <n v="594"/>
    <n v="33.46077127659575"/>
    <n v="3344.6875"/>
    <n v="803.75"/>
    <n v="4148.4375"/>
    <n v="-727.9375"/>
    <n v="14"/>
    <n v="2"/>
    <n v="3645.5"/>
    <n v="601"/>
    <n v="225"/>
    <n v="7"/>
    <m/>
    <n v="2610"/>
    <n v="398"/>
    <n v="810.5"/>
    <n v="196"/>
    <n v="3344.6875"/>
  </r>
  <r>
    <x v="2"/>
    <x v="0"/>
    <x v="0"/>
    <x v="9"/>
    <n v="67.040574220465416"/>
    <n v="57.101509661835635"/>
    <n v="9.9390645586297754"/>
    <n v="32.959425779534584"/>
    <n v="4.8174786266793319"/>
    <n v="3036"/>
    <n v="471"/>
    <n v="22.622377622377623"/>
    <n v="1733.60183333333"/>
    <n v="301.75"/>
    <n v="2035.35183333333"/>
    <n v="1000.64816666667"/>
    <n v="13"/>
    <n v="2"/>
    <n v="3187.5"/>
    <n v="497"/>
    <n v="151.5"/>
    <n v="26"/>
    <m/>
    <n v="2481"/>
    <n v="379"/>
    <n v="555"/>
    <n v="92"/>
    <n v="1733.60183333333"/>
  </r>
  <r>
    <x v="2"/>
    <x v="0"/>
    <x v="1"/>
    <x v="10"/>
    <n v="79.784439834024894"/>
    <n v="79.149066390041497"/>
    <n v="0.63537344398340245"/>
    <n v="20.215560165975095"/>
    <n v="11.017253774263121"/>
    <n v="1928"/>
    <n v="547.5"/>
    <n v="30.909571655208882"/>
    <n v="1525.9940000000001"/>
    <n v="12.25"/>
    <n v="1538.2440000000001"/>
    <n v="389.75599999999986"/>
    <n v="10"/>
    <n v="2"/>
    <n v="2234.5"/>
    <n v="547.5"/>
    <n v="306.5"/>
    <n v="0"/>
    <n v="515"/>
    <n v="1486"/>
    <n v="405"/>
    <n v="442"/>
    <n v="142.5"/>
    <n v="1010.994"/>
  </r>
  <r>
    <x v="2"/>
    <x v="0"/>
    <x v="1"/>
    <x v="11"/>
    <n v="90.480960420183834"/>
    <n v="88.229975614331266"/>
    <n v="2.2509848058525606"/>
    <n v="9.5190395798161678"/>
    <n v="2.1271271271271273"/>
    <n v="4442.5"/>
    <n v="1424"/>
    <n v="32.128378378378379"/>
    <n v="3919.6166666666668"/>
    <n v="100"/>
    <n v="4019.6166666666668"/>
    <n v="422.88333333333321"/>
    <n v="17"/>
    <n v="8"/>
    <n v="4510.5"/>
    <n v="1483.5"/>
    <n v="68"/>
    <n v="59.5"/>
    <n v="405"/>
    <n v="3374.5"/>
    <n v="1065.5"/>
    <n v="1068"/>
    <n v="358.5"/>
    <n v="3514.6166666666668"/>
  </r>
  <r>
    <x v="2"/>
    <x v="0"/>
    <x v="1"/>
    <x v="12"/>
    <n v="65.386416861826703"/>
    <n v="65.386416861826703"/>
    <n v="0"/>
    <n v="34.613583138173297"/>
    <n v="2.5281662488295527"/>
    <n v="14304.5"/>
    <n v="1830.5"/>
    <n v="23.767882483795496"/>
    <n v="9353.2000000000007"/>
    <n v="0"/>
    <n v="9353.2000000000007"/>
    <n v="4951.2999999999993"/>
    <n v="59"/>
    <n v="11"/>
    <n v="14694"/>
    <n v="1859.5"/>
    <n v="389.5"/>
    <n v="29"/>
    <m/>
    <n v="11558"/>
    <n v="1478.5"/>
    <n v="2746.5"/>
    <n v="352"/>
    <n v="9353.2000000000007"/>
  </r>
  <r>
    <x v="2"/>
    <x v="0"/>
    <x v="1"/>
    <x v="13"/>
    <n v="78.858160919540225"/>
    <n v="78.858160919540225"/>
    <n v="0"/>
    <n v="21.141839080459775"/>
    <n v="1.8221803330191644"/>
    <n v="1305"/>
    <n v="257.5"/>
    <n v="31.745362563237773"/>
    <n v="1029.0989999999999"/>
    <n v="0"/>
    <n v="1029.0989999999999"/>
    <n v="275.90100000000007"/>
    <n v="5"/>
    <n v="1"/>
    <n v="1325"/>
    <n v="266.5"/>
    <n v="20"/>
    <n v="9"/>
    <m/>
    <n v="992.5"/>
    <n v="193.5"/>
    <n v="312.5"/>
    <n v="64"/>
    <n v="1029.0989999999999"/>
  </r>
  <r>
    <x v="2"/>
    <x v="0"/>
    <x v="1"/>
    <x v="14"/>
    <n v="65.387739207832666"/>
    <n v="65.387739207832666"/>
    <n v="0"/>
    <n v="34.612260792167334"/>
    <n v="3.5573122529644272"/>
    <n v="2996"/>
    <n v="1274"/>
    <n v="29.984779299847791"/>
    <n v="1959.0166666666667"/>
    <n v="0"/>
    <n v="1959.0166666666667"/>
    <n v="1036.9833333333333"/>
    <n v="12"/>
    <n v="5"/>
    <n v="3116.5"/>
    <n v="1311"/>
    <n v="120.5"/>
    <n v="37"/>
    <m/>
    <n v="2309.5"/>
    <n v="975.5"/>
    <n v="686.5"/>
    <n v="298.5"/>
    <n v="1959.0166666666667"/>
  </r>
  <r>
    <x v="3"/>
    <x v="0"/>
    <x v="0"/>
    <x v="0"/>
    <n v="75.027550952665464"/>
    <n v="73.488348934475198"/>
    <n v="1.5392020181902675"/>
    <n v="24.972449047334528"/>
    <n v="4.2103424178895876"/>
    <n v="5021"/>
    <n v="462"/>
    <n v="34.667812845388681"/>
    <n v="3689.85"/>
    <n v="77.283333333333331"/>
    <n v="3767.1333333333332"/>
    <n v="1253.8666666666668"/>
    <n v="21"/>
    <n v="2"/>
    <n v="5231"/>
    <n v="493"/>
    <n v="210"/>
    <n v="31"/>
    <n v="1.25"/>
    <n v="3727.5"/>
    <n v="344"/>
    <n v="1293.5"/>
    <n v="118"/>
    <n v="3688.6"/>
  </r>
  <r>
    <x v="3"/>
    <x v="0"/>
    <x v="0"/>
    <x v="1"/>
    <n v="105.05879469131912"/>
    <n v="100.38393388661275"/>
    <n v="4.6748608047063769"/>
    <n v="-5.0587946913191209"/>
    <n v="3.5763411279229711"/>
    <n v="4759.5"/>
    <n v="498"/>
    <n v="31.453931741467684"/>
    <n v="4777.7733333333335"/>
    <n v="222.5"/>
    <n v="5000.2733333333335"/>
    <n v="-240.77333333333354"/>
    <n v="19"/>
    <n v="2"/>
    <n v="4924.5"/>
    <n v="528"/>
    <n v="165"/>
    <n v="30"/>
    <m/>
    <n v="3654.5"/>
    <n v="345"/>
    <n v="1105"/>
    <n v="153"/>
    <n v="4777.7733333333335"/>
  </r>
  <r>
    <x v="3"/>
    <x v="0"/>
    <x v="0"/>
    <x v="2"/>
    <n v="99.984799391975685"/>
    <n v="99.984799391975685"/>
    <n v="0"/>
    <n v="1.5200608024318061E-2"/>
    <n v="7.3081201334816468"/>
    <n v="4166.5"/>
    <n v="0"/>
    <n v="32.606619987269255"/>
    <n v="4165.8666666666668"/>
    <n v="0"/>
    <n v="4165.8666666666668"/>
    <n v="0.63333333333321207"/>
    <n v="20"/>
    <m/>
    <n v="4495"/>
    <m/>
    <n v="328.5"/>
    <m/>
    <m/>
    <n v="3142"/>
    <m/>
    <n v="1024.5"/>
    <m/>
    <n v="4165.8666666666668"/>
  </r>
  <r>
    <x v="3"/>
    <x v="0"/>
    <x v="0"/>
    <x v="3"/>
    <n v="98.064073571536255"/>
    <n v="71.824061510628681"/>
    <n v="26.240012060907581"/>
    <n v="1.9359264284637399"/>
    <n v="5.401964350672972"/>
    <n v="2211"/>
    <n v="389.5"/>
    <n v="25.084175084175087"/>
    <n v="1588.03"/>
    <n v="580.16666666666663"/>
    <n v="2168.1966666666667"/>
    <n v="42.803333333333285"/>
    <n v="10"/>
    <n v="2"/>
    <n v="2352.5"/>
    <n v="396.5"/>
    <n v="141.5"/>
    <n v="7"/>
    <m/>
    <n v="1711"/>
    <n v="368"/>
    <n v="500"/>
    <n v="21.5"/>
    <n v="1588.03"/>
  </r>
  <r>
    <x v="3"/>
    <x v="0"/>
    <x v="0"/>
    <x v="4"/>
    <n v="71.286313581541691"/>
    <n v="71.286313581541691"/>
    <n v="0"/>
    <n v="28.713686418458305"/>
    <n v="5.7936160909488414"/>
    <n v="1907"/>
    <n v="247.5"/>
    <n v="32.788906009244997"/>
    <n v="1359.43"/>
    <n v="0"/>
    <n v="1359.43"/>
    <n v="547.56999999999994"/>
    <n v="11"/>
    <n v="1"/>
    <n v="2039.5"/>
    <n v="247.5"/>
    <n v="132.5"/>
    <n v="0"/>
    <m/>
    <n v="1435"/>
    <n v="187.5"/>
    <n v="472"/>
    <n v="60"/>
    <n v="1359.43"/>
  </r>
  <r>
    <x v="3"/>
    <x v="0"/>
    <x v="0"/>
    <x v="5"/>
    <n v="78.397523809523804"/>
    <n v="63.034115288220548"/>
    <n v="15.363408521303256"/>
    <n v="21.602476190476196"/>
    <n v="4.7277936962750715"/>
    <n v="1662.5"/>
    <n v="0"/>
    <n v="35.162601626016261"/>
    <n v="1047.9421666666667"/>
    <n v="255.41666666666666"/>
    <n v="1303.3588333333332"/>
    <n v="359.14116666666678"/>
    <n v="7"/>
    <m/>
    <n v="1745"/>
    <m/>
    <n v="82.5"/>
    <m/>
    <n v="33"/>
    <n v="1230"/>
    <m/>
    <n v="432.5"/>
    <m/>
    <n v="1014.9421666666666"/>
  </r>
  <r>
    <x v="3"/>
    <x v="0"/>
    <x v="0"/>
    <x v="6"/>
    <n v="82.268737999650909"/>
    <n v="78.338441845580974"/>
    <n v="3.9302961540699366"/>
    <n v="17.73126200034908"/>
    <n v="4.0037905709547505"/>
    <n v="2864.5"/>
    <n v="1187.5"/>
    <n v="32.917828440216503"/>
    <n v="2244.0046666666672"/>
    <n v="112.58333333333333"/>
    <n v="2356.5880000000006"/>
    <n v="507.91199999999935"/>
    <n v="12"/>
    <n v="7"/>
    <n v="3008.5"/>
    <n v="1212.5"/>
    <n v="144"/>
    <n v="25"/>
    <m/>
    <n v="2083.5"/>
    <n v="965"/>
    <n v="781"/>
    <n v="222.5"/>
    <n v="2244.0046666666672"/>
  </r>
  <r>
    <x v="3"/>
    <x v="0"/>
    <x v="0"/>
    <x v="7"/>
    <n v="86.905835953129426"/>
    <n v="82.776084595598704"/>
    <n v="4.129751357530723"/>
    <n v="13.094164046870574"/>
    <n v="3.0201964054104131"/>
    <n v="1749.5"/>
    <n v="867.5"/>
    <n v="35.175619834710744"/>
    <n v="1448.1675999999993"/>
    <n v="72.25"/>
    <n v="1520.4175999999993"/>
    <n v="229.08240000000069"/>
    <n v="7"/>
    <n v="4"/>
    <n v="1813"/>
    <n v="885.5"/>
    <n v="63.5"/>
    <n v="18"/>
    <m/>
    <n v="1249"/>
    <n v="687"/>
    <n v="500.5"/>
    <n v="180.5"/>
    <n v="1448.1675999999993"/>
  </r>
  <r>
    <x v="3"/>
    <x v="0"/>
    <x v="0"/>
    <x v="8"/>
    <n v="109.50172497178787"/>
    <n v="84.234381213391387"/>
    <n v="25.267343758396471"/>
    <n v="-9.5017249717878567"/>
    <n v="5.3303792519223254"/>
    <n v="3101.5"/>
    <n v="530.5"/>
    <n v="29.923090681452337"/>
    <n v="2612.5293333333339"/>
    <n v="783.66666666666663"/>
    <n v="3396.1960000000004"/>
    <n v="-294.69600000000037"/>
    <n v="14"/>
    <n v="2"/>
    <n v="3298.5"/>
    <n v="538"/>
    <n v="197"/>
    <n v="7.5"/>
    <m/>
    <n v="2428"/>
    <n v="367.5"/>
    <n v="673.5"/>
    <n v="163"/>
    <n v="2612.5293333333339"/>
  </r>
  <r>
    <x v="3"/>
    <x v="0"/>
    <x v="0"/>
    <x v="9"/>
    <n v="75.777230898102914"/>
    <n v="63.269003769520374"/>
    <n v="12.508227128582542"/>
    <n v="24.222769101897097"/>
    <m/>
    <n v="2785.5"/>
    <n v="556.5"/>
    <n v="26.783004552352047"/>
    <n v="1762.3580999999899"/>
    <n v="348.41666666666669"/>
    <n v="2110.7747666666564"/>
    <n v="674.72523333334357"/>
    <n v="13"/>
    <n v="3"/>
    <n v="3036"/>
    <n v="602.5"/>
    <n v="250.5"/>
    <n v="46"/>
    <m/>
    <n v="2187"/>
    <n v="449"/>
    <n v="598.5"/>
    <n v="107.5"/>
    <n v="1762.3580999999899"/>
  </r>
  <r>
    <x v="3"/>
    <x v="0"/>
    <x v="1"/>
    <x v="10"/>
    <n v="70.092086874409816"/>
    <n v="56.376317280453257"/>
    <n v="13.715769593956564"/>
    <n v="29.907913125590174"/>
    <n v="7.5244231968405737"/>
    <n v="1765"/>
    <n v="459.5"/>
    <n v="31.316410861865407"/>
    <n v="995.04200000000003"/>
    <n v="242.08333333333334"/>
    <n v="1237.1253333333334"/>
    <n v="527.8746666666666"/>
    <n v="8"/>
    <n v="2"/>
    <n v="1907"/>
    <n v="498.5"/>
    <n v="142"/>
    <n v="39"/>
    <n v="75.666666666666671"/>
    <n v="1358"/>
    <n v="336"/>
    <n v="407"/>
    <n v="123.5"/>
    <n v="919.3753333333334"/>
  </r>
  <r>
    <x v="3"/>
    <x v="0"/>
    <x v="1"/>
    <x v="11"/>
    <n v="74.806238752249556"/>
    <n v="74.806238752249556"/>
    <n v="0"/>
    <n v="25.193761247750444"/>
    <n v="4.1078414696376937"/>
    <n v="4167.5"/>
    <n v="1470"/>
    <n v="29.642405427158792"/>
    <n v="3117.55"/>
    <n v="0"/>
    <n v="3117.55"/>
    <n v="1049.9499999999998"/>
    <n v="19"/>
    <n v="6"/>
    <n v="4386.5"/>
    <n v="1492.5"/>
    <n v="219"/>
    <n v="22.5"/>
    <m/>
    <n v="3246"/>
    <n v="1102.5"/>
    <n v="921.5"/>
    <n v="367.5"/>
    <n v="3117.55"/>
  </r>
  <r>
    <x v="3"/>
    <x v="0"/>
    <x v="1"/>
    <x v="12"/>
    <n v="61.090128755364802"/>
    <n v="61.090128755364802"/>
    <n v="0"/>
    <n v="38.909871244635191"/>
    <n v="3.9296494079405622"/>
    <n v="13397.5"/>
    <n v="3153.5"/>
    <n v="24.065814624639255"/>
    <n v="8184.55"/>
    <n v="0"/>
    <n v="8184.55"/>
    <n v="5212.95"/>
    <n v="61"/>
    <n v="14"/>
    <n v="13948"/>
    <n v="3280"/>
    <n v="550.5"/>
    <n v="126.5"/>
    <m/>
    <n v="10842"/>
    <n v="2498.5"/>
    <n v="2555.5"/>
    <n v="655"/>
    <n v="8184.55"/>
  </r>
  <r>
    <x v="3"/>
    <x v="0"/>
    <x v="1"/>
    <x v="13"/>
    <n v="60.683757874554942"/>
    <n v="60.683757874554942"/>
    <n v="0"/>
    <n v="39.316242125445058"/>
    <n v="2.2448979591836733"/>
    <n v="1217"/>
    <n v="220"/>
    <n v="31.593406593406591"/>
    <n v="738.5213333333337"/>
    <n v="0"/>
    <n v="738.5213333333337"/>
    <n v="478.4786666666663"/>
    <n v="5"/>
    <n v="1"/>
    <n v="1224.5"/>
    <n v="245.5"/>
    <n v="7.5"/>
    <n v="25.5"/>
    <m/>
    <n v="930"/>
    <n v="162"/>
    <n v="287"/>
    <n v="58"/>
    <n v="738.5213333333337"/>
  </r>
  <r>
    <x v="3"/>
    <x v="0"/>
    <x v="1"/>
    <x v="14"/>
    <n v="58.858853060436381"/>
    <n v="58.858853060436381"/>
    <n v="0"/>
    <n v="41.141146939563619"/>
    <n v="3.6221498371335503"/>
    <n v="2589.5"/>
    <n v="1109"/>
    <n v="26.943538699159085"/>
    <n v="1524.15"/>
    <n v="0"/>
    <n v="1524.15"/>
    <n v="1065.3499999999999"/>
    <n v="12"/>
    <n v="5"/>
    <n v="2655.5"/>
    <n v="1182"/>
    <n v="66"/>
    <n v="73"/>
    <m/>
    <n v="2049"/>
    <n v="864.5"/>
    <n v="540.5"/>
    <n v="244.5"/>
    <n v="1524.15"/>
  </r>
  <r>
    <x v="4"/>
    <x v="0"/>
    <x v="0"/>
    <x v="0"/>
    <n v="74.527780805988584"/>
    <n v="74.527780805988584"/>
    <n v="0"/>
    <n v="25.472219194011409"/>
    <n v="5.1433389544688026"/>
    <n v="4586.5"/>
    <n v="476"/>
    <n v="48.875165416850464"/>
    <n v="3418.2166666666667"/>
    <n v="0"/>
    <n v="3418.2166666666667"/>
    <n v="1168.2833333333333"/>
    <n v="22"/>
    <n v="2"/>
    <n v="4853"/>
    <n v="484"/>
    <n v="266.5"/>
    <n v="8"/>
    <m/>
    <n v="3093.5"/>
    <n v="307"/>
    <n v="1493"/>
    <n v="169"/>
    <n v="3418.2166666666667"/>
  </r>
  <r>
    <x v="4"/>
    <x v="0"/>
    <x v="0"/>
    <x v="1"/>
    <n v="99.380879397840644"/>
    <n v="98.086645550219657"/>
    <n v="1.2942338476209938"/>
    <n v="0.61912060215935394"/>
    <n v="3.5383402326039821"/>
    <n v="4893.5"/>
    <n v="0"/>
    <n v="25.297657150172832"/>
    <n v="4799.869999999999"/>
    <n v="63.333333333333336"/>
    <n v="4863.203333333332"/>
    <n v="30.296666666667988"/>
    <n v="18"/>
    <m/>
    <n v="5073"/>
    <m/>
    <n v="179.5"/>
    <m/>
    <m/>
    <n v="3905.5"/>
    <m/>
    <n v="988"/>
    <m/>
    <n v="4799.869999999999"/>
  </r>
  <r>
    <x v="4"/>
    <x v="0"/>
    <x v="0"/>
    <x v="2"/>
    <n v="97.495183044315993"/>
    <n v="97.495183044315993"/>
    <n v="0"/>
    <n v="2.504816955684003"/>
    <n v="5.6016332780400662"/>
    <n v="3200.5"/>
    <n v="498.5"/>
    <n v="54.414527238572319"/>
    <n v="3120.3333333333335"/>
    <n v="0"/>
    <n v="3120.3333333333335"/>
    <n v="80.166666666666515"/>
    <n v="20"/>
    <n v="2"/>
    <n v="3414.5"/>
    <n v="504"/>
    <n v="214"/>
    <n v="5.5"/>
    <m/>
    <n v="2086"/>
    <n v="309.5"/>
    <n v="1114.5"/>
    <n v="189"/>
    <n v="3120.3333333333335"/>
  </r>
  <r>
    <x v="4"/>
    <x v="0"/>
    <x v="0"/>
    <x v="3"/>
    <n v="98.694895591647338"/>
    <n v="79.886890951276101"/>
    <n v="18.80800464037123"/>
    <n v="1.3051044083526682"/>
    <n v="12.353838332486019"/>
    <n v="1724"/>
    <n v="0"/>
    <n v="57.155879671832267"/>
    <n v="1377.25"/>
    <n v="324.25"/>
    <n v="1701.5"/>
    <n v="22.5"/>
    <n v="11"/>
    <m/>
    <n v="1967"/>
    <m/>
    <n v="243"/>
    <m/>
    <n v="18"/>
    <n v="1097"/>
    <m/>
    <n v="627"/>
    <m/>
    <n v="1359.25"/>
  </r>
  <r>
    <x v="4"/>
    <x v="0"/>
    <x v="0"/>
    <x v="4"/>
    <n v="15.297611894307062"/>
    <n v="15.297611894307062"/>
    <n v="0"/>
    <n v="84.702388105692933"/>
    <n v="9.2205508888454766"/>
    <n v="2163.5"/>
    <n v="160"/>
    <n v="40.477629987908102"/>
    <n v="330.9638333333333"/>
    <n v="0"/>
    <n v="330.9638333333333"/>
    <n v="1832.5361666666668"/>
    <n v="11"/>
    <n v="1"/>
    <n v="2347"/>
    <n v="212.5"/>
    <n v="183.5"/>
    <n v="52.5"/>
    <m/>
    <n v="1549"/>
    <n v="105"/>
    <n v="614.5"/>
    <n v="55"/>
    <n v="330.9638333333333"/>
  </r>
  <r>
    <x v="4"/>
    <x v="0"/>
    <x v="0"/>
    <x v="5"/>
    <n v="59.530287256603039"/>
    <n v="34.504260651629068"/>
    <n v="25.026026604973971"/>
    <n v="40.469712743396954"/>
    <n v="1.7613636363636362"/>
    <n v="1729"/>
    <n v="0"/>
    <n v="40.683482506102528"/>
    <n v="596.57866666666655"/>
    <n v="432.7"/>
    <n v="1029.2786666666666"/>
    <n v="699.7213333333334"/>
    <n v="8"/>
    <m/>
    <n v="1760"/>
    <m/>
    <n v="31"/>
    <m/>
    <m/>
    <n v="1229"/>
    <m/>
    <n v="500"/>
    <m/>
    <n v="596.57866666666655"/>
  </r>
  <r>
    <x v="4"/>
    <x v="0"/>
    <x v="0"/>
    <x v="6"/>
    <n v="61.398132457202152"/>
    <n v="60.619989624762241"/>
    <n v="0.77814283243991"/>
    <n v="38.601867542797855"/>
    <n v="3.4126292190808325"/>
    <n v="2891.5"/>
    <n v="986"/>
    <n v="40.974368296673333"/>
    <n v="1752.827"/>
    <n v="22.5"/>
    <n v="1775.327"/>
    <n v="1116.173"/>
    <n v="14"/>
    <n v="5"/>
    <n v="2995"/>
    <n v="1019.5"/>
    <n v="103.5"/>
    <n v="33.5"/>
    <m/>
    <n v="1996.5"/>
    <n v="754"/>
    <n v="895"/>
    <n v="232"/>
    <n v="1752.827"/>
  </r>
  <r>
    <x v="4"/>
    <x v="0"/>
    <x v="0"/>
    <x v="7"/>
    <n v="44.490383424624916"/>
    <n v="43.930726363419865"/>
    <n v="0.55965706120504877"/>
    <n v="55.509616575375084"/>
    <n v="2.7303120356612185"/>
    <n v="2099.5"/>
    <n v="519"/>
    <n v="57.836045810729352"/>
    <n v="922.32560000000001"/>
    <n v="11.75"/>
    <n v="934.07560000000001"/>
    <n v="1165.4243999999999"/>
    <n v="9"/>
    <n v="2"/>
    <n v="2158"/>
    <n v="534"/>
    <n v="58.5"/>
    <n v="15"/>
    <m/>
    <n v="1359"/>
    <n v="300"/>
    <n v="740.5"/>
    <n v="219"/>
    <n v="922.32560000000001"/>
  </r>
  <r>
    <x v="4"/>
    <x v="0"/>
    <x v="0"/>
    <x v="8"/>
    <n v="88.171669626998209"/>
    <n v="73.861426879810523"/>
    <n v="14.310242747187685"/>
    <n v="11.828330373001783"/>
    <n v="4.0951122853368567"/>
    <n v="2815"/>
    <n v="815"/>
    <n v="35.447761194029852"/>
    <n v="2079.1991666666663"/>
    <n v="402.83333333333331"/>
    <n v="2482.0324999999998"/>
    <n v="332.9675000000002"/>
    <n v="14"/>
    <n v="4"/>
    <n v="2930"/>
    <n v="855"/>
    <n v="115"/>
    <n v="40"/>
    <m/>
    <n v="2090"/>
    <n v="590"/>
    <n v="725"/>
    <n v="225"/>
    <n v="2079.1991666666663"/>
  </r>
  <r>
    <x v="4"/>
    <x v="0"/>
    <x v="0"/>
    <x v="9"/>
    <n v="75.582816448426371"/>
    <n v="62.143808867447738"/>
    <n v="13.439007580978634"/>
    <n v="24.417183551573629"/>
    <n v="10.657562713373906"/>
    <n v="2176.5"/>
    <n v="833"/>
    <n v="29.803752426137585"/>
    <n v="1352.56"/>
    <n v="292.5"/>
    <n v="1645.06"/>
    <n v="531.44000000000005"/>
    <n v="13"/>
    <n v="4"/>
    <n v="2513.5"/>
    <n v="855"/>
    <n v="337"/>
    <n v="22"/>
    <m/>
    <n v="1710.5"/>
    <n v="608"/>
    <n v="466"/>
    <n v="225"/>
    <n v="1352.56"/>
  </r>
  <r>
    <x v="4"/>
    <x v="0"/>
    <x v="1"/>
    <x v="10"/>
    <n v="61.575937609533831"/>
    <n v="47.730862250262888"/>
    <n v="13.845075359270941"/>
    <n v="38.424062390466176"/>
    <n v="10.688635403464302"/>
    <n v="1902"/>
    <n v="212"/>
    <n v="31.549471064094586"/>
    <n v="907.84100000000001"/>
    <n v="263.33333333333331"/>
    <n v="1171.1743333333334"/>
    <n v="730.82566666666662"/>
    <n v="10"/>
    <n v="2"/>
    <n v="1922.5"/>
    <n v="444.5"/>
    <n v="20.5"/>
    <n v="232.5"/>
    <n v="470.5"/>
    <n v="1449.5"/>
    <n v="157.5"/>
    <n v="452.5"/>
    <n v="54.5"/>
    <n v="437.34100000000001"/>
  </r>
  <r>
    <x v="4"/>
    <x v="0"/>
    <x v="1"/>
    <x v="11"/>
    <n v="95.706874189364456"/>
    <n v="91.037613488975353"/>
    <n v="4.6692607003891053"/>
    <n v="4.293125810635539"/>
    <n v="6.1830015313935682"/>
    <n v="3598"/>
    <n v="1303"/>
    <n v="35.592751417900125"/>
    <n v="3275.5333333333333"/>
    <n v="168"/>
    <n v="3443.5333333333333"/>
    <n v="154.4666666666667"/>
    <n v="19"/>
    <n v="6"/>
    <n v="3892.5"/>
    <n v="1331.5"/>
    <n v="294.5"/>
    <n v="28.5"/>
    <n v="319"/>
    <n v="2698"/>
    <n v="916.5"/>
    <n v="900"/>
    <n v="386.5"/>
    <n v="2956.5333333333333"/>
  </r>
  <r>
    <x v="4"/>
    <x v="0"/>
    <x v="1"/>
    <x v="12"/>
    <n v="52.816376835148162"/>
    <n v="52.816376835148162"/>
    <n v="0"/>
    <n v="47.183623164851838"/>
    <n v="4.8778162636245197"/>
    <n v="12306"/>
    <n v="2661"/>
    <n v="29.95007597134795"/>
    <n v="6499.583333333333"/>
    <n v="0"/>
    <n v="6499.583333333333"/>
    <n v="5806.416666666667"/>
    <n v="65"/>
    <n v="14"/>
    <n v="12950.5"/>
    <n v="2784"/>
    <n v="644.5"/>
    <n v="123"/>
    <m/>
    <n v="9488"/>
    <n v="2029.5"/>
    <n v="2818"/>
    <n v="631.5"/>
    <n v="6499.583333333333"/>
  </r>
  <r>
    <x v="4"/>
    <x v="0"/>
    <x v="1"/>
    <x v="13"/>
    <n v="74.791598173515993"/>
    <n v="74.791598173515993"/>
    <n v="0"/>
    <n v="25.208401826484"/>
    <n v="10.07252215954875"/>
    <n v="912.5"/>
    <n v="203.5"/>
    <n v="36.097560975609753"/>
    <n v="682.47333333333347"/>
    <n v="0"/>
    <n v="682.47333333333347"/>
    <n v="230.02666666666653"/>
    <n v="5"/>
    <n v="1"/>
    <n v="1028.5"/>
    <n v="212.5"/>
    <n v="116"/>
    <n v="9"/>
    <m/>
    <n v="671.5"/>
    <n v="148.5"/>
    <n v="241"/>
    <n v="55"/>
    <n v="682.47333333333347"/>
  </r>
  <r>
    <x v="4"/>
    <x v="0"/>
    <x v="1"/>
    <x v="14"/>
    <n v="62.71875"/>
    <n v="62.71875"/>
    <n v="0"/>
    <n v="37.28125"/>
    <n v="8.8087025736269577"/>
    <n v="2400"/>
    <n v="1037"/>
    <n v="46.535919846514602"/>
    <n v="1505.25"/>
    <n v="0"/>
    <n v="1505.25"/>
    <n v="894.75"/>
    <n v="11"/>
    <n v="6"/>
    <n v="2489.5"/>
    <n v="1279.5"/>
    <n v="89.5"/>
    <n v="242.5"/>
    <m/>
    <n v="1643"/>
    <n v="702.5"/>
    <n v="757"/>
    <n v="334.5"/>
    <n v="1505.25"/>
  </r>
  <r>
    <x v="5"/>
    <x v="0"/>
    <x v="0"/>
    <x v="0"/>
    <n v="62.476174961309766"/>
    <n v="60.857701392848419"/>
    <n v="1.6184735684613503"/>
    <n v="37.523825038690234"/>
    <n v="3.8349159970781597"/>
    <n v="6138.5"/>
    <n v="444"/>
    <n v="28.501708150317228"/>
    <n v="3735.75"/>
    <n v="99.35"/>
    <n v="3835.1"/>
    <n v="2303.4"/>
    <n v="26"/>
    <n v="2"/>
    <n v="6350"/>
    <n v="495"/>
    <n v="211.5"/>
    <n v="51"/>
    <m/>
    <n v="4783.5"/>
    <n v="339"/>
    <n v="1355"/>
    <n v="105"/>
    <n v="3735.75"/>
  </r>
  <r>
    <x v="5"/>
    <x v="0"/>
    <x v="0"/>
    <x v="1"/>
    <n v="85.087824508798235"/>
    <n v="85.087824508798235"/>
    <n v="0"/>
    <n v="14.912175491201765"/>
    <n v="2.5603567584191911"/>
    <n v="6336.5"/>
    <n v="0"/>
    <n v="32.690294601465531"/>
    <n v="5391.59"/>
    <n v="0"/>
    <n v="5391.59"/>
    <n v="944.90999999999985"/>
    <n v="18"/>
    <m/>
    <n v="6503"/>
    <m/>
    <n v="166.5"/>
    <m/>
    <m/>
    <n v="3343.5"/>
    <m/>
    <n v="1093"/>
    <m/>
    <n v="5391.59"/>
  </r>
  <r>
    <x v="5"/>
    <x v="0"/>
    <x v="0"/>
    <x v="2"/>
    <n v="84.639733223699238"/>
    <n v="84.639733223699238"/>
    <n v="0"/>
    <n v="15.36026677630076"/>
    <n v="8.4853202846975098"/>
    <n v="3648.5"/>
    <n v="466"/>
    <n v="33.15188528943176"/>
    <n v="3088.0806666666667"/>
    <n v="0"/>
    <n v="3088.0806666666667"/>
    <n v="560.41933333333327"/>
    <n v="21"/>
    <n v="2"/>
    <n v="3947.5"/>
    <n v="548.5"/>
    <n v="299"/>
    <n v="82.5"/>
    <m/>
    <n v="3458.5"/>
    <n v="307.5"/>
    <n v="1090"/>
    <n v="158.5"/>
    <n v="3088.0806666666667"/>
  </r>
  <r>
    <x v="5"/>
    <x v="0"/>
    <x v="0"/>
    <x v="3"/>
    <n v="83.737519075648578"/>
    <n v="83.737519075648578"/>
    <n v="0"/>
    <n v="16.262480924351419"/>
    <n v="6.1963190184049086"/>
    <n v="1529"/>
    <n v="0"/>
    <n v="36.776636019469983"/>
    <n v="1280.3466666666668"/>
    <n v="0"/>
    <n v="1280.3466666666668"/>
    <n v="248.65333333333319"/>
    <n v="10"/>
    <m/>
    <n v="1630"/>
    <m/>
    <n v="101"/>
    <m/>
    <m/>
    <n v="1849"/>
    <m/>
    <n v="680"/>
    <m/>
    <n v="1280.3466666666668"/>
  </r>
  <r>
    <x v="5"/>
    <x v="1"/>
    <x v="0"/>
    <x v="15"/>
    <n v="31.226238286479248"/>
    <n v="31.226238286479248"/>
    <n v="0"/>
    <n v="68.773761713520756"/>
    <n v="23.262839879154079"/>
    <n v="871.5"/>
    <n v="17.5"/>
    <n v="26.0099220411056"/>
    <n v="272.13666666666666"/>
    <n v="0"/>
    <n v="272.13666666666666"/>
    <n v="599.36333333333334"/>
    <n v="4"/>
    <n v="1"/>
    <n v="963.5"/>
    <n v="195"/>
    <n v="92"/>
    <n v="177.5"/>
    <m/>
    <n v="688"/>
    <n v="17.5"/>
    <n v="183.5"/>
    <n v="0"/>
    <n v="272.13666666666666"/>
  </r>
  <r>
    <x v="5"/>
    <x v="1"/>
    <x v="0"/>
    <x v="16"/>
    <n v="14.278876826162712"/>
    <n v="14.278876826162712"/>
    <n v="0"/>
    <n v="85.721123173837285"/>
    <n v="2.6614481409001955"/>
    <n v="1243.5"/>
    <n v="0"/>
    <n v="32.146652497343254"/>
    <n v="177.55783333333332"/>
    <n v="0"/>
    <n v="177.55783333333332"/>
    <n v="1065.9421666666667"/>
    <n v="5"/>
    <m/>
    <n v="1277.5"/>
    <m/>
    <n v="34"/>
    <m/>
    <m/>
    <n v="941"/>
    <m/>
    <n v="302.5"/>
    <m/>
    <n v="177.55783333333332"/>
  </r>
  <r>
    <x v="5"/>
    <x v="1"/>
    <x v="0"/>
    <x v="17"/>
    <n v="37.506326034063257"/>
    <n v="37.506326034063257"/>
    <n v="0"/>
    <n v="62.49367396593675"/>
    <n v="2.1877486077963404"/>
    <n v="959"/>
    <n v="270.5"/>
    <n v="29.762532981530342"/>
    <n v="359.68566666666663"/>
    <n v="0"/>
    <n v="359.68566666666663"/>
    <n v="599.31433333333337"/>
    <n v="4"/>
    <n v="1"/>
    <n v="980"/>
    <n v="277"/>
    <n v="21"/>
    <n v="6.5"/>
    <m/>
    <n v="759"/>
    <n v="188.5"/>
    <n v="200"/>
    <n v="82"/>
    <n v="359.68566666666663"/>
  </r>
  <r>
    <x v="5"/>
    <x v="1"/>
    <x v="0"/>
    <x v="18"/>
    <n v="46.666585079802147"/>
    <n v="46.666585079802147"/>
    <n v="0"/>
    <n v="53.333414920197853"/>
    <n v="6.8990428029618922"/>
    <n v="6537"/>
    <n v="1195.5"/>
    <n v="34.665621734587255"/>
    <n v="3050.5946666666664"/>
    <n v="0"/>
    <n v="3050.5946666666664"/>
    <n v="3486.4053333333336"/>
    <n v="28"/>
    <n v="5"/>
    <n v="7029"/>
    <n v="1276.5"/>
    <n v="492"/>
    <n v="81"/>
    <m/>
    <n v="4885.5"/>
    <n v="856.5"/>
    <n v="1651.5"/>
    <n v="339"/>
    <n v="3050.5946666666664"/>
  </r>
  <r>
    <x v="5"/>
    <x v="1"/>
    <x v="0"/>
    <x v="5"/>
    <n v="83.712763834522988"/>
    <n v="70.450042213523673"/>
    <n v="13.26272162099931"/>
    <n v="16.287236165477012"/>
    <n v="5.6279878313776619"/>
    <n v="2171.5"/>
    <n v="0"/>
    <n v="33.589664718548143"/>
    <n v="1529.8226666666667"/>
    <n v="288"/>
    <n v="1817.8226666666667"/>
    <n v="353.67733333333331"/>
    <n v="9"/>
    <m/>
    <n v="2301"/>
    <m/>
    <n v="129.5"/>
    <m/>
    <m/>
    <n v="1625.5"/>
    <m/>
    <n v="546"/>
    <m/>
    <n v="1529.8226666666667"/>
  </r>
  <r>
    <x v="5"/>
    <x v="0"/>
    <x v="0"/>
    <x v="6"/>
    <n v="55.096796256299484"/>
    <n v="52.900971922246207"/>
    <n v="2.1958243340532757"/>
    <n v="44.903203743700516"/>
    <n v="4.0477835916674891"/>
    <n v="3704"/>
    <n v="1155.5"/>
    <n v="32.863978127136022"/>
    <n v="1959.4519999999998"/>
    <n v="81.333333333333329"/>
    <n v="2040.785333333333"/>
    <n v="1663.214666666667"/>
    <n v="15"/>
    <n v="5"/>
    <n v="3872"/>
    <n v="1192.5"/>
    <n v="168"/>
    <n v="37"/>
    <m/>
    <n v="2719.5"/>
    <n v="938"/>
    <n v="984.5"/>
    <n v="217.5"/>
    <n v="1959.4519999999998"/>
  </r>
  <r>
    <x v="5"/>
    <x v="0"/>
    <x v="0"/>
    <x v="7"/>
    <n v="71.335553060919011"/>
    <n v="67.481339619817376"/>
    <n v="3.8542134411016309"/>
    <n v="28.664446939080989"/>
    <n v="7.5974675108297234"/>
    <n v="2227"/>
    <n v="546"/>
    <n v="44.653103808033386"/>
    <n v="1502.8094333333331"/>
    <n v="85.833333333333329"/>
    <n v="1588.6427666666664"/>
    <n v="638.35723333333362"/>
    <n v="9"/>
    <n v="2"/>
    <n v="2430"/>
    <n v="571"/>
    <n v="203"/>
    <n v="25"/>
    <n v="2"/>
    <n v="1552"/>
    <n v="365"/>
    <n v="675"/>
    <n v="181"/>
    <n v="1500.8094333333331"/>
  </r>
  <r>
    <x v="5"/>
    <x v="0"/>
    <x v="0"/>
    <x v="8"/>
    <n v="76.030933791380406"/>
    <n v="76.030933791380406"/>
    <n v="0"/>
    <n v="23.969066208619587"/>
    <n v="7.0972711267605639"/>
    <n v="3202"/>
    <n v="1019.5"/>
    <n v="32.439215686274508"/>
    <n v="2434.5105000000008"/>
    <n v="0"/>
    <n v="2434.5105000000008"/>
    <n v="767.48949999999923"/>
    <n v="14"/>
    <n v="4"/>
    <n v="3491"/>
    <n v="1053"/>
    <n v="289"/>
    <n v="33.5"/>
    <m/>
    <n v="2441"/>
    <n v="746.5"/>
    <n v="761"/>
    <n v="273"/>
    <n v="2434.5105000000008"/>
  </r>
  <r>
    <x v="5"/>
    <x v="1"/>
    <x v="0"/>
    <x v="9"/>
    <n v="101.01933621933622"/>
    <n v="83.860606060606074"/>
    <n v="17.158730158730158"/>
    <n v="-1.0193362193362174"/>
    <n v="11.344430217669654"/>
    <n v="2310"/>
    <n v="1152"/>
    <n v="20.543175487465181"/>
    <n v="1937.18"/>
    <n v="396.36666666666667"/>
    <n v="2333.5466666666666"/>
    <n v="-23.546666666666624"/>
    <n v="12"/>
    <n v="5"/>
    <n v="2693"/>
    <n v="1212"/>
    <n v="383"/>
    <n v="60"/>
    <m/>
    <n v="1957"/>
    <n v="915"/>
    <n v="353"/>
    <n v="237"/>
    <n v="1937.18"/>
  </r>
  <r>
    <x v="5"/>
    <x v="0"/>
    <x v="1"/>
    <x v="10"/>
    <n v="77.151471775673485"/>
    <n v="60.760074873375899"/>
    <n v="16.391396902297586"/>
    <n v="22.848528224326508"/>
    <n v="4.9965421853388658"/>
    <n v="2270.5"/>
    <n v="477"/>
    <n v="25.142336597585974"/>
    <n v="1379.5574999999999"/>
    <n v="372.16666666666669"/>
    <n v="1751.7241666666666"/>
    <n v="518.77583333333337"/>
    <n v="10"/>
    <n v="2"/>
    <n v="2398"/>
    <n v="494"/>
    <n v="127.5"/>
    <n v="17"/>
    <n v="364"/>
    <n v="1822.5"/>
    <n v="373"/>
    <n v="448"/>
    <n v="104"/>
    <n v="1015.5575"/>
  </r>
  <r>
    <x v="5"/>
    <x v="0"/>
    <x v="1"/>
    <x v="11"/>
    <n v="90.121167764495397"/>
    <n v="87.742538830609078"/>
    <n v="2.3786289338863136"/>
    <n v="9.8788322355045963"/>
    <n v="9.4900148539362927"/>
    <n v="4099"/>
    <n v="1385"/>
    <n v="27.534883720930232"/>
    <n v="3596.5666666666666"/>
    <n v="97.5"/>
    <n v="3694.0666666666666"/>
    <n v="404.93333333333339"/>
    <n v="19"/>
    <n v="6"/>
    <n v="4555.5"/>
    <n v="1503.5"/>
    <n v="456.5"/>
    <n v="118.5"/>
    <n v="106.5"/>
    <n v="3248.5"/>
    <n v="1051.5"/>
    <n v="850.5"/>
    <n v="333.5"/>
    <n v="3490.0666666666666"/>
  </r>
  <r>
    <x v="5"/>
    <x v="0"/>
    <x v="1"/>
    <x v="12"/>
    <n v="57.907195598668018"/>
    <n v="57.907195598668018"/>
    <n v="0"/>
    <n v="42.092804401331982"/>
    <n v="12.101210121012102"/>
    <n v="13814"/>
    <n v="2565.5"/>
    <n v="23.084726657899683"/>
    <n v="7999.3"/>
    <n v="0"/>
    <n v="7999.3"/>
    <n v="5814.7"/>
    <n v="70"/>
    <n v="13"/>
    <n v="15562.5"/>
    <n v="3072"/>
    <n v="1748.5"/>
    <n v="506.5"/>
    <m/>
    <n v="11279"/>
    <n v="2028.5"/>
    <n v="2535"/>
    <n v="537"/>
    <n v="7999.3"/>
  </r>
  <r>
    <x v="5"/>
    <x v="0"/>
    <x v="1"/>
    <x v="13"/>
    <n v="65.750468319559261"/>
    <n v="65.750468319559261"/>
    <n v="0"/>
    <n v="34.249531680440739"/>
    <n v="4.1804910418049106"/>
    <n v="1210"/>
    <n v="234"/>
    <n v="27.844178840194779"/>
    <n v="795.58066666666707"/>
    <n v="0"/>
    <n v="795.58066666666707"/>
    <n v="414.41933333333293"/>
    <n v="6"/>
    <n v="1"/>
    <n v="1264"/>
    <n v="243"/>
    <n v="54"/>
    <n v="9"/>
    <m/>
    <n v="943.5"/>
    <n v="186"/>
    <n v="266.5"/>
    <n v="48"/>
    <n v="795.58066666666707"/>
  </r>
  <r>
    <x v="5"/>
    <x v="0"/>
    <x v="1"/>
    <x v="14"/>
    <n v="78.962739174219536"/>
    <n v="78.962739174219536"/>
    <n v="0"/>
    <n v="21.037260825780461"/>
    <n v="9.0550293188994129"/>
    <n v="2648"/>
    <n v="1384.5"/>
    <n v="35.273398188527338"/>
    <n v="2090.9333333333334"/>
    <n v="0"/>
    <n v="2090.9333333333334"/>
    <n v="557.06666666666661"/>
    <n v="12"/>
    <n v="6"/>
    <n v="2903.5"/>
    <n v="1530.5"/>
    <n v="255.5"/>
    <n v="146"/>
    <m/>
    <n v="1957"/>
    <n v="1024"/>
    <n v="691"/>
    <n v="360.5"/>
    <n v="2090.9333333333334"/>
  </r>
  <r>
    <x v="6"/>
    <x v="0"/>
    <x v="0"/>
    <x v="0"/>
    <n v="64.133423995164705"/>
    <n v="63.761332728921126"/>
    <n v="0.37209126624357813"/>
    <n v="35.866576004835302"/>
    <n v="8.5768863419293204"/>
    <n v="4412"/>
    <n v="374"/>
    <n v="14.744665547830257"/>
    <n v="2813.15"/>
    <n v="16.416666666666668"/>
    <n v="2829.5666666666666"/>
    <n v="1582.4333333333334"/>
    <n v="26"/>
    <n v="2"/>
    <n v="4840"/>
    <n v="395"/>
    <n v="428"/>
    <n v="21"/>
    <m/>
    <n v="3862"/>
    <n v="309"/>
    <n v="550"/>
    <n v="65"/>
    <n v="2813.15"/>
  </r>
  <r>
    <x v="6"/>
    <x v="0"/>
    <x v="0"/>
    <x v="1"/>
    <n v="93.225622097868794"/>
    <n v="85.137357621939117"/>
    <n v="8.0882644759296731"/>
    <n v="6.7743779021312118"/>
    <n v="5.5867805755395681"/>
    <n v="4199.5"/>
    <n v="0"/>
    <n v="22.395453883141485"/>
    <n v="3575.3433333333332"/>
    <n v="339.66666666666669"/>
    <n v="3915.0099999999998"/>
    <n v="284.49000000000024"/>
    <n v="20"/>
    <m/>
    <n v="4448"/>
    <m/>
    <n v="248.5"/>
    <m/>
    <m/>
    <n v="3431.5"/>
    <m/>
    <n v="768.5"/>
    <m/>
    <n v="3575.3433333333332"/>
  </r>
  <r>
    <x v="6"/>
    <x v="0"/>
    <x v="0"/>
    <x v="2"/>
    <n v="70.860637539464307"/>
    <n v="59.98376616763418"/>
    <n v="10.876871371830125"/>
    <n v="29.13936246053569"/>
    <n v="11.579324340456012"/>
    <n v="3273"/>
    <n v="430.5"/>
    <n v="27.706896551724135"/>
    <n v="1963.2686666666666"/>
    <n v="356"/>
    <n v="2319.2686666666668"/>
    <n v="953.73133333333317"/>
    <n v="22"/>
    <n v="2"/>
    <n v="3747"/>
    <n v="441.5"/>
    <n v="474"/>
    <n v="11"/>
    <n v="18"/>
    <n v="2581"/>
    <n v="319"/>
    <n v="692"/>
    <n v="111.5"/>
    <n v="1945.2686666666666"/>
  </r>
  <r>
    <x v="6"/>
    <x v="0"/>
    <x v="0"/>
    <x v="3"/>
    <n v="84.86150174720872"/>
    <n v="73.47481462541549"/>
    <n v="11.386687121793232"/>
    <n v="15.138498252791271"/>
    <n v="1.8569636135508156"/>
    <n v="1955.5"/>
    <n v="0"/>
    <n v="21.233725976441413"/>
    <n v="1436.8"/>
    <n v="222.66666666666666"/>
    <n v="1659.4666666666667"/>
    <n v="296.0333333333333"/>
    <n v="10"/>
    <m/>
    <n v="1992.5"/>
    <m/>
    <n v="37"/>
    <m/>
    <n v="317.33333333333331"/>
    <n v="1613"/>
    <m/>
    <n v="342.5"/>
    <m/>
    <n v="1119.4666666666667"/>
  </r>
  <r>
    <x v="6"/>
    <x v="1"/>
    <x v="0"/>
    <x v="15"/>
    <n v="53.917581077785911"/>
    <n v="53.917581077785911"/>
    <n v="0"/>
    <n v="46.082418922214089"/>
    <n v="16.339522546419097"/>
    <n v="683.5"/>
    <n v="105"/>
    <n v="17.511177347242921"/>
    <n v="368.5266666666667"/>
    <n v="0"/>
    <n v="368.5266666666667"/>
    <n v="314.9733333333333"/>
    <n v="4"/>
    <n v="1"/>
    <n v="762.5"/>
    <n v="180"/>
    <n v="79"/>
    <n v="75"/>
    <m/>
    <n v="581"/>
    <n v="90"/>
    <n v="102.5"/>
    <n v="15"/>
    <n v="368.5266666666667"/>
  </r>
  <r>
    <x v="6"/>
    <x v="1"/>
    <x v="0"/>
    <x v="16"/>
    <n v="0.76569264069264076"/>
    <n v="0.76569264069264076"/>
    <n v="0"/>
    <n v="99.234307359307351"/>
    <n v="11.196540124939933"/>
    <n v="924"/>
    <n v="0"/>
    <n v="30.416372618207483"/>
    <n v="7.0750000000000002"/>
    <n v="0"/>
    <n v="7.0750000000000002"/>
    <n v="916.92499999999995"/>
    <n v="5"/>
    <m/>
    <n v="1040.5"/>
    <m/>
    <n v="116.5"/>
    <m/>
    <m/>
    <n v="708.5"/>
    <m/>
    <n v="215.5"/>
    <m/>
    <n v="7.0750000000000002"/>
  </r>
  <r>
    <x v="6"/>
    <x v="1"/>
    <x v="0"/>
    <x v="17"/>
    <n v="3.5145888594164454"/>
    <n v="3.5145888594164454"/>
    <n v="0"/>
    <n v="96.485411140583551"/>
    <n v="6.4878048780487809"/>
    <n v="754"/>
    <n v="204.5"/>
    <n v="26.367831245880026"/>
    <n v="26.5"/>
    <n v="0"/>
    <n v="26.5"/>
    <n v="727.5"/>
    <n v="4"/>
    <n v="1"/>
    <n v="815.5"/>
    <n v="209.5"/>
    <n v="61.5"/>
    <n v="5"/>
    <m/>
    <n v="598.5"/>
    <n v="160"/>
    <n v="155.5"/>
    <n v="44.5"/>
    <n v="26.5"/>
  </r>
  <r>
    <x v="6"/>
    <x v="1"/>
    <x v="0"/>
    <x v="18"/>
    <n v="87.798581560283694"/>
    <n v="81.911420665967"/>
    <n v="5.8871608943166995"/>
    <n v="12.201418439716313"/>
    <n v="8.817457976997936"/>
    <n v="5240.5"/>
    <n v="943.5"/>
    <n v="30.409110080134965"/>
    <n v="4292.5680000000002"/>
    <n v="308.51666666666665"/>
    <n v="4601.0846666666666"/>
    <n v="639.41533333333336"/>
    <n v="28"/>
    <n v="5"/>
    <n v="5733.5"/>
    <n v="1048.5"/>
    <n v="493"/>
    <n v="105"/>
    <n v="267.16666666666669"/>
    <n v="4022"/>
    <n v="720"/>
    <n v="1218.5"/>
    <n v="223.5"/>
    <n v="4025.4013333333332"/>
  </r>
  <r>
    <x v="6"/>
    <x v="1"/>
    <x v="0"/>
    <x v="5"/>
    <n v="73.068359140559352"/>
    <n v="45.637078381946942"/>
    <n v="27.431280758612409"/>
    <n v="26.931640859440641"/>
    <n v="7.0988559694925195"/>
    <n v="1388.5"/>
    <n v="195"/>
    <n v="16.092375366568916"/>
    <n v="633.67083333333335"/>
    <n v="380.88333333333333"/>
    <n v="1014.5541666666667"/>
    <n v="373.94583333333333"/>
    <n v="8"/>
    <n v="1"/>
    <n v="1502"/>
    <n v="202.5"/>
    <n v="113.5"/>
    <n v="7.5"/>
    <m/>
    <n v="1206.5"/>
    <n v="157.5"/>
    <n v="182"/>
    <n v="37.5"/>
    <n v="633.67083333333335"/>
  </r>
  <r>
    <x v="6"/>
    <x v="0"/>
    <x v="0"/>
    <x v="6"/>
    <n v="48.152429378531075"/>
    <n v="48.152429378531075"/>
    <n v="0"/>
    <n v="51.847570621468932"/>
    <n v="8.6031213723719855"/>
    <n v="2950"/>
    <n v="593"/>
    <n v="26.467963590933429"/>
    <n v="1420.4966666666667"/>
    <n v="0"/>
    <n v="1420.4966666666667"/>
    <n v="1529.5033333333333"/>
    <n v="16"/>
    <n v="3"/>
    <n v="3252.5"/>
    <n v="624"/>
    <n v="302.5"/>
    <n v="31"/>
    <m/>
    <n v="2337.5"/>
    <n v="464"/>
    <n v="612.5"/>
    <n v="129"/>
    <n v="1420.4966666666667"/>
  </r>
  <r>
    <x v="6"/>
    <x v="0"/>
    <x v="0"/>
    <x v="7"/>
    <n v="45.661204294217704"/>
    <n v="45.661204294217704"/>
    <n v="0"/>
    <n v="54.338795705782296"/>
    <n v="14.83528161530287"/>
    <n v="1568"/>
    <n v="435.5"/>
    <n v="31.939413895291409"/>
    <n v="715.96768333333364"/>
    <n v="0"/>
    <n v="715.96768333333364"/>
    <n v="852.03231666666636"/>
    <n v="9"/>
    <n v="2"/>
    <n v="1910"/>
    <n v="442.5"/>
    <n v="342"/>
    <n v="7"/>
    <m/>
    <n v="1195.5"/>
    <n v="323"/>
    <n v="372.5"/>
    <n v="112.5"/>
    <n v="715.96768333333364"/>
  </r>
  <r>
    <x v="6"/>
    <x v="0"/>
    <x v="0"/>
    <x v="8"/>
    <n v="70.057951040231018"/>
    <n v="70.057951040231018"/>
    <n v="0"/>
    <n v="29.942048959768986"/>
    <n v="8.3367897138116955"/>
    <n v="2539.5"/>
    <n v="775.5"/>
    <n v="24.227093872962339"/>
    <n v="1779.1216666666667"/>
    <n v="0"/>
    <n v="1779.1216666666667"/>
    <n v="760.37833333333333"/>
    <n v="14"/>
    <n v="4"/>
    <n v="2750.5"/>
    <n v="866"/>
    <n v="211"/>
    <n v="90.5"/>
    <m/>
    <n v="2099"/>
    <n v="569.5"/>
    <n v="440.5"/>
    <n v="206"/>
    <n v="1779.1216666666667"/>
  </r>
  <r>
    <x v="6"/>
    <x v="1"/>
    <x v="0"/>
    <x v="9"/>
    <n v="66.929249133615642"/>
    <n v="54.841583878834477"/>
    <n v="12.087665254781159"/>
    <n v="33.070750866384365"/>
    <n v="16.697299589990102"/>
    <n v="2597"/>
    <n v="349"/>
    <n v="15.779131460011788"/>
    <n v="1424.2359333333313"/>
    <n v="313.91666666666669"/>
    <n v="1738.1525999999981"/>
    <n v="858.84740000000193"/>
    <n v="17"/>
    <n v="2"/>
    <n v="3158.5"/>
    <n v="378"/>
    <n v="561.5"/>
    <n v="29"/>
    <m/>
    <n v="2243.5"/>
    <n v="301"/>
    <n v="353.5"/>
    <n v="48"/>
    <n v="1424.2359333333313"/>
  </r>
  <r>
    <x v="6"/>
    <x v="0"/>
    <x v="1"/>
    <x v="10"/>
    <n v="57.852108433734941"/>
    <n v="47.801907630522088"/>
    <n v="10.050200803212853"/>
    <n v="42.147891566265059"/>
    <n v="5.2002810962754742"/>
    <n v="1660"/>
    <n v="363.5"/>
    <n v="8.26645264847512"/>
    <n v="793.51166666666666"/>
    <n v="166.83333333333334"/>
    <n v="960.34500000000003"/>
    <n v="699.65499999999997"/>
    <n v="10"/>
    <n v="2"/>
    <n v="1768.5"/>
    <n v="366"/>
    <n v="108.5"/>
    <n v="2.5"/>
    <n v="316.66666666666669"/>
    <n v="1541.5"/>
    <n v="327.5"/>
    <n v="118.5"/>
    <n v="36"/>
    <n v="476.84499999999997"/>
  </r>
  <r>
    <x v="6"/>
    <x v="0"/>
    <x v="1"/>
    <x v="11"/>
    <n v="62.538678757507064"/>
    <n v="59.706876665473494"/>
    <n v="2.831802092033568"/>
    <n v="37.461321242492943"/>
    <n v="6.1802575107296134"/>
    <n v="4190.5"/>
    <n v="728"/>
    <n v="19.934162399414777"/>
    <n v="2502.0166666666669"/>
    <n v="118.66666666666667"/>
    <n v="2620.6833333333334"/>
    <n v="1569.8166666666666"/>
    <n v="23"/>
    <n v="4"/>
    <n v="4462"/>
    <n v="780.5"/>
    <n v="271.5"/>
    <n v="52.5"/>
    <n v="117"/>
    <n v="3493.5"/>
    <n v="607.5"/>
    <n v="697"/>
    <n v="120.5"/>
    <n v="2385.0166666666669"/>
  </r>
  <r>
    <x v="6"/>
    <x v="0"/>
    <x v="1"/>
    <x v="12"/>
    <n v="38.803384804541999"/>
    <n v="38.803384804541999"/>
    <n v="0"/>
    <n v="61.196615195458001"/>
    <n v="6.2258113667530086"/>
    <n v="13826.5"/>
    <n v="1559.5"/>
    <n v="22.271228195653038"/>
    <n v="5365.15"/>
    <n v="0"/>
    <n v="5365.15"/>
    <n v="8461.35"/>
    <n v="75"/>
    <n v="8"/>
    <n v="14763.5"/>
    <n v="1644"/>
    <n v="937"/>
    <n v="84.5"/>
    <m/>
    <n v="11385.5"/>
    <n v="1198"/>
    <n v="2441"/>
    <n v="361.5"/>
    <n v="5365.15"/>
  </r>
  <r>
    <x v="6"/>
    <x v="0"/>
    <x v="1"/>
    <x v="13"/>
    <n v="47.833194905869284"/>
    <n v="47.833194905869284"/>
    <n v="0"/>
    <n v="52.166805094130723"/>
    <n v="5.0590219224283306"/>
    <n v="1204"/>
    <n v="203.5"/>
    <n v="30.324074074074076"/>
    <n v="575.91166666666618"/>
    <n v="0"/>
    <n v="575.91166666666618"/>
    <n v="628.08833333333382"/>
    <n v="6"/>
    <n v="1"/>
    <n v="1270"/>
    <n v="212.5"/>
    <n v="66"/>
    <n v="9"/>
    <m/>
    <n v="924"/>
    <n v="156"/>
    <n v="280"/>
    <n v="47.5"/>
    <n v="575.91166666666618"/>
  </r>
  <r>
    <x v="6"/>
    <x v="0"/>
    <x v="1"/>
    <x v="14"/>
    <n v="57.353851757421239"/>
    <n v="57.353851757421239"/>
    <n v="0"/>
    <n v="42.646148242578761"/>
    <n v="5.6068601583113455"/>
    <n v="2745.5"/>
    <n v="832"/>
    <n v="29.73708068902992"/>
    <n v="1574.65"/>
    <n v="0"/>
    <n v="1574.65"/>
    <n v="1170.8499999999999"/>
    <n v="14"/>
    <n v="4"/>
    <n v="2921"/>
    <n v="869"/>
    <n v="175.5"/>
    <n v="37"/>
    <m/>
    <n v="2134.5"/>
    <n v="623"/>
    <n v="611"/>
    <n v="209"/>
    <n v="1574.65"/>
  </r>
  <r>
    <x v="7"/>
    <x v="0"/>
    <x v="0"/>
    <x v="0"/>
    <n v="69.113052189975264"/>
    <n v="67.306283460129606"/>
    <n v="1.806768729845653"/>
    <n v="30.886947810024729"/>
    <n v="11.476700251889168"/>
    <n v="5323.5"/>
    <n v="299.5"/>
    <n v="27.332427536231883"/>
    <n v="3583.05"/>
    <n v="96.183333333333337"/>
    <n v="3679.2333333333336"/>
    <n v="1644.2666666666664"/>
    <n v="26"/>
    <n v="2"/>
    <n v="5919"/>
    <n v="433"/>
    <n v="595.5"/>
    <n v="133.5"/>
    <m/>
    <n v="4174.5"/>
    <n v="241.5"/>
    <n v="1149"/>
    <n v="58"/>
    <n v="3583.05"/>
  </r>
  <r>
    <x v="7"/>
    <x v="0"/>
    <x v="0"/>
    <x v="1"/>
    <n v="80.913509135091346"/>
    <n v="77.451474514745144"/>
    <n v="3.4620346203462034"/>
    <n v="19.086490864908654"/>
    <n v="5.9972445092795201"/>
    <n v="5555.5"/>
    <n v="244"/>
    <n v="35.534883720930232"/>
    <n v="4302.8166666666666"/>
    <n v="192.33333333333334"/>
    <n v="4495.1499999999996"/>
    <n v="1060.3500000000004"/>
    <n v="23"/>
    <n v="1"/>
    <n v="5907"/>
    <n v="262.5"/>
    <n v="351.5"/>
    <n v="18.5"/>
    <m/>
    <n v="3593.5"/>
    <n v="169"/>
    <n v="1262"/>
    <n v="75"/>
    <n v="4302.8166666666666"/>
  </r>
  <r>
    <x v="7"/>
    <x v="0"/>
    <x v="0"/>
    <x v="2"/>
    <n v="71.779934527248216"/>
    <n v="64.351665703832083"/>
    <n v="7.4282688234161371"/>
    <n v="28.220065472751788"/>
    <n v="16.684288433072531"/>
    <n v="3462"/>
    <n v="478"/>
    <n v="33.679055027369635"/>
    <n v="2227.8546666666666"/>
    <n v="257.16666666666669"/>
    <n v="2485.0213333333331"/>
    <n v="976.97866666666687"/>
    <n v="21"/>
    <n v="2"/>
    <n v="4178.5"/>
    <n v="550.5"/>
    <n v="716.5"/>
    <n v="72.5"/>
    <m/>
    <n v="3168.5"/>
    <n v="302.5"/>
    <n v="993.5"/>
    <n v="175.5"/>
    <n v="2227.8546666666666"/>
  </r>
  <r>
    <x v="7"/>
    <x v="0"/>
    <x v="0"/>
    <x v="3"/>
    <n v="66.538242688897711"/>
    <n v="50.759494508402803"/>
    <n v="15.778748180494903"/>
    <n v="33.461757311102289"/>
    <n v="5.7084035186224966"/>
    <n v="2519"/>
    <n v="0"/>
    <n v="31.884816753926703"/>
    <n v="1278.6316666666667"/>
    <n v="397.46666666666664"/>
    <n v="1676.0983333333334"/>
    <n v="842.90166666666664"/>
    <n v="11"/>
    <m/>
    <n v="2671.5"/>
    <m/>
    <n v="152.5"/>
    <m/>
    <m/>
    <n v="1910"/>
    <m/>
    <n v="609"/>
    <m/>
    <n v="1278.6316666666667"/>
  </r>
  <r>
    <x v="7"/>
    <x v="1"/>
    <x v="0"/>
    <x v="19"/>
    <n v="68.451802561699495"/>
    <n v="68.451802561699495"/>
    <n v="0"/>
    <n v="31.548197438300505"/>
    <n v="12.827899924184988"/>
    <n v="2667.5"/>
    <n v="207"/>
    <n v="28.785842293906811"/>
    <n v="1825.951833333334"/>
    <n v="0"/>
    <n v="1825.951833333334"/>
    <n v="841.54816666666602"/>
    <n v="13"/>
    <n v="1"/>
    <n v="3072.5"/>
    <n v="225"/>
    <n v="405"/>
    <n v="18"/>
    <m/>
    <n v="2062.5"/>
    <n v="169.5"/>
    <n v="605"/>
    <n v="37.5"/>
    <n v="1825.951833333334"/>
  </r>
  <r>
    <x v="7"/>
    <x v="1"/>
    <x v="0"/>
    <x v="18"/>
    <n v="104.64611898483851"/>
    <n v="97.927540650406513"/>
    <n v="6.7185783344319931"/>
    <n v="-4.6461189848385054"/>
    <n v="10.197609172969017"/>
    <n v="6068"/>
    <n v="1294"/>
    <n v="39.922075453767938"/>
    <n v="5942.2431666666671"/>
    <n v="407.68333333333334"/>
    <n v="6349.9265000000005"/>
    <n v="-281.92650000000049"/>
    <n v="28"/>
    <n v="5"/>
    <n v="6850"/>
    <n v="1348"/>
    <n v="782"/>
    <n v="54"/>
    <n v="376.41666666666669"/>
    <n v="4378"/>
    <n v="883.5"/>
    <n v="1690"/>
    <n v="410.5"/>
    <n v="5565.8265000000001"/>
  </r>
  <r>
    <x v="7"/>
    <x v="1"/>
    <x v="0"/>
    <x v="5"/>
    <n v="54.850277153558068"/>
    <n v="46.102711610486907"/>
    <n v="8.7475655430711612"/>
    <n v="45.149722846441939"/>
    <n v="5.399659863945578"/>
    <n v="2225"/>
    <n v="0"/>
    <n v="27.288329519450798"/>
    <n v="1025.7853333333337"/>
    <n v="194.63333333333333"/>
    <n v="1220.4186666666669"/>
    <n v="1004.5813333333331"/>
    <n v="10"/>
    <m/>
    <n v="2352"/>
    <m/>
    <n v="127"/>
    <m/>
    <m/>
    <n v="1748"/>
    <m/>
    <n v="477"/>
    <m/>
    <n v="1025.7853333333337"/>
  </r>
  <r>
    <x v="7"/>
    <x v="0"/>
    <x v="0"/>
    <x v="6"/>
    <n v="57.393957603071286"/>
    <n v="57.393957603071286"/>
    <n v="0"/>
    <n v="42.606042396928707"/>
    <n v="12.787907869481765"/>
    <n v="2995.5"/>
    <n v="639.5"/>
    <n v="36.937276323224708"/>
    <n v="1719.2360000000006"/>
    <n v="0"/>
    <n v="1719.2360000000006"/>
    <n v="1276.2639999999994"/>
    <n v="14"/>
    <n v="3"/>
    <n v="3443"/>
    <n v="725"/>
    <n v="447.5"/>
    <n v="85.5"/>
    <m/>
    <n v="2177.5"/>
    <n v="477"/>
    <n v="818"/>
    <n v="162.5"/>
    <n v="1719.2360000000006"/>
  </r>
  <r>
    <x v="7"/>
    <x v="0"/>
    <x v="0"/>
    <x v="7"/>
    <n v="73.078399098083452"/>
    <n v="73.078399098083452"/>
    <n v="0"/>
    <n v="26.921600901916541"/>
    <n v="6.0264769808338272"/>
    <n v="1774"/>
    <n v="604"/>
    <n v="47.701863354037265"/>
    <n v="1296.4108000000006"/>
    <n v="0"/>
    <n v="1296.4108000000006"/>
    <n v="477.58919999999944"/>
    <n v="8"/>
    <n v="2"/>
    <n v="1920.5"/>
    <n v="610"/>
    <n v="146.5"/>
    <n v="6"/>
    <m/>
    <n v="1241"/>
    <n v="369"/>
    <n v="533"/>
    <n v="235"/>
    <n v="1296.4108000000006"/>
  </r>
  <r>
    <x v="7"/>
    <x v="0"/>
    <x v="0"/>
    <x v="8"/>
    <n v="65.805974000198432"/>
    <n v="65.805974000198432"/>
    <n v="0"/>
    <n v="34.194025999801561"/>
    <n v="6.6145777587498662"/>
    <n v="3359"/>
    <n v="1003.5"/>
    <n v="29.894298049724576"/>
    <n v="2210.4226666666655"/>
    <n v="0"/>
    <n v="2210.4226666666655"/>
    <n v="1148.5773333333345"/>
    <n v="17"/>
    <n v="4"/>
    <n v="3655.5"/>
    <n v="1016"/>
    <n v="296.5"/>
    <n v="12.5"/>
    <m/>
    <n v="2621"/>
    <n v="737.5"/>
    <n v="738"/>
    <n v="266"/>
    <n v="2210.4226666666655"/>
  </r>
  <r>
    <x v="7"/>
    <x v="1"/>
    <x v="0"/>
    <x v="9"/>
    <n v="80.485455984800566"/>
    <n v="64.451046020688253"/>
    <n v="16.03440996411231"/>
    <n v="19.514544015199434"/>
    <n v="9.4954073720625072"/>
    <n v="3158"/>
    <n v="635.5"/>
    <n v="17.920422754118746"/>
    <n v="2035.3640333333351"/>
    <n v="506.36666666666667"/>
    <n v="2541.7307000000019"/>
    <n v="616.26929999999811"/>
    <n v="17"/>
    <n v="3"/>
    <n v="3519.5"/>
    <n v="672"/>
    <n v="361.5"/>
    <n v="36.5"/>
    <m/>
    <n v="2691"/>
    <n v="526"/>
    <n v="467"/>
    <n v="109.5"/>
    <n v="2035.3640333333351"/>
  </r>
  <r>
    <x v="7"/>
    <x v="0"/>
    <x v="1"/>
    <x v="10"/>
    <n v="66.977199814557238"/>
    <n v="66.977199814557238"/>
    <n v="0"/>
    <n v="33.022800185442755"/>
    <n v="8.9207735495945109"/>
    <n v="1797.5"/>
    <n v="392.5"/>
    <n v="7.5902726602800303"/>
    <n v="1203.9151666666664"/>
    <n v="0"/>
    <n v="1203.9151666666664"/>
    <n v="593.58483333333356"/>
    <n v="10"/>
    <n v="2"/>
    <n v="2007"/>
    <n v="397.5"/>
    <n v="209.5"/>
    <n v="5"/>
    <n v="351.83333333333331"/>
    <n v="1665.5"/>
    <n v="370"/>
    <n v="132"/>
    <n v="22.5"/>
    <n v="852.08183333333318"/>
  </r>
  <r>
    <x v="7"/>
    <x v="0"/>
    <x v="1"/>
    <x v="11"/>
    <n v="75.591179509101934"/>
    <n v="74.550960065548082"/>
    <n v="1.0402194435538457"/>
    <n v="24.40882049089808"/>
    <n v="9.5494174203536222"/>
    <n v="4678.5"/>
    <n v="872"/>
    <n v="24.828516810974925"/>
    <n v="3487.8666666666668"/>
    <n v="48.666666666666664"/>
    <n v="3536.5333333333333"/>
    <n v="1141.9666666666667"/>
    <n v="23"/>
    <n v="4"/>
    <n v="5209.5"/>
    <n v="927"/>
    <n v="531"/>
    <n v="55"/>
    <n v="437.5"/>
    <n v="3751.5"/>
    <n v="695"/>
    <n v="927"/>
    <n v="177"/>
    <n v="3050.3666666666668"/>
  </r>
  <r>
    <x v="7"/>
    <x v="0"/>
    <x v="1"/>
    <x v="12"/>
    <n v="44.999064038486743"/>
    <n v="43.474382733382008"/>
    <n v="1.5246813051047341"/>
    <n v="55.000935961513264"/>
    <n v="5.4601497137824744"/>
    <n v="17807"/>
    <n v="442.5"/>
    <n v="24.370463761202167"/>
    <n v="7741.4833333333336"/>
    <n v="271.5"/>
    <n v="8012.9833333333336"/>
    <n v="9794.0166666666664"/>
    <n v="83"/>
    <n v="2"/>
    <n v="18801"/>
    <n v="502.5"/>
    <n v="994"/>
    <n v="60"/>
    <n v="19.166666666666668"/>
    <n v="14358.5"/>
    <n v="315"/>
    <n v="3448.5"/>
    <n v="127.5"/>
    <n v="7722.3166666666666"/>
  </r>
  <r>
    <x v="7"/>
    <x v="0"/>
    <x v="1"/>
    <x v="13"/>
    <n v="51.780446549391044"/>
    <n v="51.780446549391044"/>
    <n v="0"/>
    <n v="48.219553450608949"/>
    <n v="13.186490455212921"/>
    <n v="1478"/>
    <n v="0"/>
    <n v="35.845588235294116"/>
    <n v="765.31499999999971"/>
    <n v="0"/>
    <n v="765.31499999999971"/>
    <n v="712.68500000000029"/>
    <n v="7"/>
    <m/>
    <n v="1702.5"/>
    <m/>
    <n v="224.5"/>
    <m/>
    <m/>
    <n v="1088"/>
    <m/>
    <n v="390"/>
    <m/>
    <n v="765.31499999999971"/>
  </r>
  <r>
    <x v="7"/>
    <x v="0"/>
    <x v="1"/>
    <x v="14"/>
    <n v="55.974632843791724"/>
    <n v="55.974632843791724"/>
    <n v="0"/>
    <n v="44.025367156208276"/>
    <n v="10.37977632805219"/>
    <n v="2996"/>
    <n v="850.5"/>
    <n v="31.302270011947432"/>
    <n v="1677"/>
    <n v="0"/>
    <n v="1677"/>
    <n v="1319"/>
    <n v="14"/>
    <n v="4"/>
    <n v="3337.5"/>
    <n v="954.5"/>
    <n v="341.5"/>
    <n v="104"/>
    <m/>
    <n v="2283.5"/>
    <n v="646"/>
    <n v="712.5"/>
    <n v="204.5"/>
    <n v="1677"/>
  </r>
  <r>
    <x v="8"/>
    <x v="0"/>
    <x v="0"/>
    <x v="0"/>
    <n v="81.734172237514741"/>
    <n v="79.102765762223086"/>
    <n v="2.6314064752916506"/>
    <n v="18.265827762485255"/>
    <n v="14.204100798246987"/>
    <n v="5086"/>
    <n v="395.5"/>
    <n v="24.934472934472936"/>
    <n v="4023.1666666666665"/>
    <n v="133.83333333333334"/>
    <n v="4157"/>
    <n v="929"/>
    <n v="25"/>
    <n v="2"/>
    <n v="5881.5"/>
    <n v="507.5"/>
    <n v="795.5"/>
    <n v="112"/>
    <n v="63.5"/>
    <n v="4109.5"/>
    <n v="278"/>
    <n v="976.5"/>
    <n v="117.5"/>
    <n v="3959.6666666666665"/>
  </r>
  <r>
    <x v="8"/>
    <x v="0"/>
    <x v="0"/>
    <x v="1"/>
    <n v="94.326815027923516"/>
    <n v="93.09987307497039"/>
    <n v="1.2269419529531223"/>
    <n v="5.6731849720764966"/>
    <n v="7.6928878497624256"/>
    <n v="5909"/>
    <n v="210.5"/>
    <n v="32.102376599634368"/>
    <n v="5501.2714999999998"/>
    <n v="72.5"/>
    <n v="5573.7714999999998"/>
    <n v="335.22850000000017"/>
    <n v="24"/>
    <n v="1"/>
    <n v="6391.5"/>
    <n v="238"/>
    <n v="482.5"/>
    <n v="27.5"/>
    <n v="13"/>
    <n v="3935"/>
    <n v="167.5"/>
    <n v="1274"/>
    <n v="43"/>
    <n v="5488.2714999999998"/>
  </r>
  <r>
    <x v="8"/>
    <x v="0"/>
    <x v="0"/>
    <x v="2"/>
    <n v="77.088352860096478"/>
    <n v="76.996462209970133"/>
    <n v="9.1890650126349643E-2"/>
    <n v="22.911647139903515"/>
    <n v="12.169929944314712"/>
    <n v="4353"/>
    <n v="536.5"/>
    <n v="29.867340492735313"/>
    <n v="3351.6559999999999"/>
    <n v="4"/>
    <n v="3355.6559999999999"/>
    <n v="997.34400000000005"/>
    <n v="22"/>
    <n v="2"/>
    <n v="5003.5"/>
    <n v="563.5"/>
    <n v="650.5"/>
    <n v="27"/>
    <m/>
    <n v="3594.5"/>
    <n v="363"/>
    <n v="1008.5"/>
    <n v="173.5"/>
    <n v="3351.6559999999999"/>
  </r>
  <r>
    <x v="8"/>
    <x v="0"/>
    <x v="0"/>
    <x v="3"/>
    <n v="67.148558601134482"/>
    <n v="67.148558601134482"/>
    <n v="0"/>
    <n v="32.851441398865511"/>
    <n v="9.514646140688475"/>
    <n v="2116"/>
    <n v="0"/>
    <n v="33.472041612483743"/>
    <n v="1420.8635000000058"/>
    <n v="0"/>
    <n v="1420.8635000000058"/>
    <n v="695.13649999999416"/>
    <n v="11"/>
    <m/>
    <n v="2338.5"/>
    <m/>
    <n v="222.5"/>
    <m/>
    <m/>
    <n v="1922.5"/>
    <m/>
    <n v="643.5"/>
    <m/>
    <n v="1420.8635000000058"/>
  </r>
  <r>
    <x v="8"/>
    <x v="1"/>
    <x v="0"/>
    <x v="15"/>
    <n v="95.424227093872943"/>
    <n v="95.424227093872943"/>
    <n v="0"/>
    <n v="4.5757729061270513"/>
    <n v="2.2377031876715221"/>
    <n v="2075.5"/>
    <n v="240"/>
    <n v="20.986984815618221"/>
    <n v="1980.529833333333"/>
    <n v="0"/>
    <n v="1980.529833333333"/>
    <n v="94.970166666666955"/>
    <n v="4"/>
    <n v="1"/>
    <n v="2128.5"/>
    <n v="240"/>
    <n v="53"/>
    <n v="0"/>
    <m/>
    <n v="727"/>
    <n v="195"/>
    <n v="148.5"/>
    <n v="45"/>
    <n v="1980.529833333333"/>
  </r>
  <r>
    <x v="8"/>
    <x v="1"/>
    <x v="0"/>
    <x v="16"/>
    <n v="42.591948470209338"/>
    <n v="42.591948470209338"/>
    <n v="0"/>
    <n v="57.408051529790662"/>
    <n v="53.167420814479641"/>
    <n v="103.5"/>
    <n v="0"/>
    <n v="28.688046647230319"/>
    <n v="44.082666666666668"/>
    <n v="0"/>
    <n v="44.082666666666668"/>
    <n v="59.417333333333332"/>
    <n v="5"/>
    <m/>
    <n v="221"/>
    <m/>
    <n v="117.5"/>
    <m/>
    <m/>
    <n v="857.5"/>
    <m/>
    <n v="246"/>
    <m/>
    <n v="44.082666666666668"/>
  </r>
  <r>
    <x v="8"/>
    <x v="1"/>
    <x v="0"/>
    <x v="17"/>
    <n v="58.540183615819217"/>
    <n v="58.540183615819217"/>
    <n v="0"/>
    <n v="41.459816384180783"/>
    <n v="33.521126760563376"/>
    <n v="472"/>
    <n v="0"/>
    <n v="19.043401240035429"/>
    <n v="276.30966666666671"/>
    <n v="0"/>
    <n v="276.30966666666671"/>
    <n v="195.69033333333329"/>
    <n v="4"/>
    <m/>
    <n v="710"/>
    <m/>
    <n v="238"/>
    <m/>
    <m/>
    <n v="564.5"/>
    <m/>
    <n v="107.5"/>
    <m/>
    <n v="276.30966666666671"/>
  </r>
  <r>
    <x v="8"/>
    <x v="1"/>
    <x v="0"/>
    <x v="18"/>
    <n v="91.195067328136048"/>
    <n v="84.544701157571438"/>
    <n v="6.6503661705646113"/>
    <n v="8.8049326718639414"/>
    <n v="7.8874640725182399"/>
    <n v="7055"/>
    <n v="1277.5"/>
    <n v="33.555056900144251"/>
    <n v="5964.6286666666656"/>
    <n v="469.18333333333334"/>
    <n v="6433.811999999999"/>
    <n v="621.18800000000101"/>
    <n v="31"/>
    <n v="5"/>
    <n v="7736"/>
    <n v="1310"/>
    <n v="681"/>
    <n v="32.5"/>
    <n v="431.83333333333331"/>
    <n v="5296.5"/>
    <n v="942.5"/>
    <n v="1758.5"/>
    <n v="335"/>
    <n v="5532.7953333333326"/>
  </r>
  <r>
    <x v="8"/>
    <x v="1"/>
    <x v="0"/>
    <x v="5"/>
    <n v="77.105347222222221"/>
    <n v="68.481215277777778"/>
    <n v="8.6241319444444446"/>
    <n v="22.894652777777768"/>
    <n v="18.263090676883781"/>
    <n v="1920"/>
    <n v="0"/>
    <n v="26.232741617357004"/>
    <n v="1314.8393333333333"/>
    <n v="165.58333333333334"/>
    <n v="1480.4226666666668"/>
    <n v="439.57733333333317"/>
    <n v="10"/>
    <m/>
    <n v="2349"/>
    <m/>
    <n v="429"/>
    <m/>
    <n v="305.89999999999998"/>
    <n v="1521"/>
    <m/>
    <n v="399"/>
    <m/>
    <n v="1008.9393333333334"/>
  </r>
  <r>
    <x v="8"/>
    <x v="0"/>
    <x v="0"/>
    <x v="6"/>
    <n v="75.381339863125518"/>
    <n v="70.980008790104861"/>
    <n v="4.401331073020657"/>
    <n v="24.618660136874482"/>
    <n v="10.714783335655566"/>
    <n v="2654.5"/>
    <n v="549.5"/>
    <n v="35.404861999634434"/>
    <n v="1884.1643333333336"/>
    <n v="116.83333333333333"/>
    <n v="2000.9976666666669"/>
    <n v="653.50233333333313"/>
    <n v="13"/>
    <n v="3"/>
    <n v="2854"/>
    <n v="734.5"/>
    <n v="199.5"/>
    <n v="185"/>
    <m/>
    <n v="2335.5"/>
    <n v="400"/>
    <n v="819"/>
    <n v="149.5"/>
    <n v="1884.1643333333336"/>
  </r>
  <r>
    <x v="8"/>
    <x v="0"/>
    <x v="0"/>
    <x v="7"/>
    <n v="98.06558656855276"/>
    <n v="90.153043220840672"/>
    <n v="7.9125433477120861"/>
    <n v="1.9344134314472368"/>
    <n v="4.6974821495678318"/>
    <n v="1970.5"/>
    <n v="565.5"/>
    <n v="41.881533101045299"/>
    <n v="1776.4657166666655"/>
    <n v="155.91666666666666"/>
    <n v="1932.3823833333322"/>
    <n v="38.1176166666678"/>
    <n v="7"/>
    <n v="2"/>
    <n v="2088"/>
    <n v="573"/>
    <n v="117.5"/>
    <n v="7.5"/>
    <m/>
    <n v="1052.5"/>
    <n v="382.5"/>
    <n v="418"/>
    <n v="183"/>
    <n v="1776.4657166666655"/>
  </r>
  <r>
    <x v="8"/>
    <x v="0"/>
    <x v="0"/>
    <x v="8"/>
    <n v="69.464585676790378"/>
    <n v="67.561698537682773"/>
    <n v="1.9028871391076114"/>
    <n v="30.535414323209615"/>
    <n v="10.115890787664505"/>
    <n v="3556"/>
    <n v="1020"/>
    <n v="27.821229050279328"/>
    <n v="2402.4939999999997"/>
    <n v="67.666666666666671"/>
    <n v="2470.1606666666662"/>
    <n v="1085.8393333333338"/>
    <n v="17"/>
    <n v="4"/>
    <n v="4065.5"/>
    <n v="1025.5"/>
    <n v="509.5"/>
    <n v="5.5"/>
    <m/>
    <n v="2805.5"/>
    <n v="774.5"/>
    <n v="750.5"/>
    <n v="245.5"/>
    <n v="2402.4939999999997"/>
  </r>
  <r>
    <x v="8"/>
    <x v="1"/>
    <x v="0"/>
    <x v="9"/>
    <n v="61.594667480791742"/>
    <n v="48.08884139825981"/>
    <n v="13.505826082531931"/>
    <n v="38.405332519208265"/>
    <n v="9.6224842205549592"/>
    <n v="3275.5"/>
    <n v="519"/>
    <n v="7.6148610323312536"/>
    <n v="1575.15"/>
    <n v="442.38333333333333"/>
    <n v="2017.5333333333333"/>
    <n v="1257.9666666666667"/>
    <n v="18"/>
    <n v="3"/>
    <n v="3558"/>
    <n v="640.5"/>
    <n v="282.5"/>
    <n v="121.5"/>
    <n v="0.5"/>
    <n v="3062.5"/>
    <n v="463.5"/>
    <n v="213"/>
    <n v="55.5"/>
    <n v="1574.65"/>
  </r>
  <r>
    <x v="8"/>
    <x v="0"/>
    <x v="1"/>
    <x v="10"/>
    <n v="68.381743081371354"/>
    <n v="58.906319702602246"/>
    <n v="9.4754233787691025"/>
    <n v="31.618256918628653"/>
    <n v="7.6893353941267382"/>
    <n v="2017.5"/>
    <n v="371.5"/>
    <n v="11.583372255955162"/>
    <n v="1188.4350000000004"/>
    <n v="191.16666666666666"/>
    <n v="1379.6016666666669"/>
    <n v="637.89833333333308"/>
    <n v="10"/>
    <n v="2"/>
    <n v="2164"/>
    <n v="424"/>
    <n v="146.5"/>
    <n v="52.5"/>
    <n v="298.25"/>
    <n v="1803.5"/>
    <n v="337.5"/>
    <n v="214"/>
    <n v="34"/>
    <n v="890.18500000000029"/>
  </r>
  <r>
    <x v="8"/>
    <x v="0"/>
    <x v="1"/>
    <x v="11"/>
    <n v="99.886433728819711"/>
    <n v="85.048438010231848"/>
    <n v="14.837995718587859"/>
    <n v="0.11356627118028176"/>
    <n v="10.329292267365661"/>
    <n v="4593.5"/>
    <n v="880"/>
    <n v="22.053740662281189"/>
    <n v="3906.7"/>
    <n v="681.58333333333337"/>
    <n v="4588.2833333333338"/>
    <n v="5.2166666666662422"/>
    <n v="24"/>
    <n v="4"/>
    <n v="5168.5"/>
    <n v="935.5"/>
    <n v="575"/>
    <n v="55.5"/>
    <n v="184.78333333333333"/>
    <n v="3760"/>
    <n v="724.5"/>
    <n v="833.5"/>
    <n v="155.5"/>
    <n v="3721.9166666666665"/>
  </r>
  <r>
    <x v="8"/>
    <x v="0"/>
    <x v="1"/>
    <x v="12"/>
    <n v="65.81547868224429"/>
    <n v="64.59933274980655"/>
    <n v="1.2161459324377466"/>
    <n v="34.18452131775571"/>
    <n v="7.1416326670552337"/>
    <n v="13138.5"/>
    <n v="403.5"/>
    <n v="21.742257383017936"/>
    <n v="8487.3833333333332"/>
    <n v="159.78333333333333"/>
    <n v="8647.1666666666661"/>
    <n v="4491.3333333333339"/>
    <n v="62"/>
    <n v="2"/>
    <n v="14095"/>
    <n v="488.5"/>
    <n v="956.5"/>
    <n v="85"/>
    <n v="13.333333333333334"/>
    <n v="10818.5"/>
    <n v="305"/>
    <n v="2320"/>
    <n v="98.5"/>
    <n v="8474.0499999999993"/>
  </r>
  <r>
    <x v="8"/>
    <x v="0"/>
    <x v="1"/>
    <x v="13"/>
    <n v="67.693407613741925"/>
    <n v="67.693407613741925"/>
    <n v="0"/>
    <n v="32.306592386258082"/>
    <n v="7.6593312374964277"/>
    <n v="1615.5"/>
    <n v="0"/>
    <n v="31.234768480909832"/>
    <n v="1093.5870000000007"/>
    <n v="0"/>
    <n v="1093.5870000000007"/>
    <n v="521.91299999999933"/>
    <n v="7"/>
    <m/>
    <n v="1749.5"/>
    <m/>
    <n v="134"/>
    <m/>
    <m/>
    <n v="1231"/>
    <m/>
    <n v="384.5"/>
    <m/>
    <n v="1093.5870000000007"/>
  </r>
  <r>
    <x v="8"/>
    <x v="0"/>
    <x v="1"/>
    <x v="14"/>
    <n v="49.263513816113573"/>
    <n v="49.263513816113573"/>
    <n v="0"/>
    <n v="50.73648618388642"/>
    <n v="10.712704736609119"/>
    <n v="7443"/>
    <n v="625"/>
    <n v="27.769419589832921"/>
    <n v="3666.6833333333334"/>
    <n v="0"/>
    <n v="3666.6833333333334"/>
    <n v="3776.3166666666666"/>
    <n v="35"/>
    <n v="3"/>
    <n v="8308.5"/>
    <n v="727.5"/>
    <n v="865.5"/>
    <n v="102.5"/>
    <m/>
    <n v="5832"/>
    <n v="482.5"/>
    <n v="1611"/>
    <n v="142.5"/>
    <n v="3666.6833333333334"/>
  </r>
  <r>
    <x v="9"/>
    <x v="0"/>
    <x v="0"/>
    <x v="0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0"/>
    <x v="0"/>
    <x v="1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0"/>
    <x v="0"/>
    <x v="2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0"/>
    <x v="0"/>
    <x v="3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1"/>
    <x v="0"/>
    <x v="15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1"/>
    <x v="0"/>
    <x v="16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1"/>
    <x v="0"/>
    <x v="17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1"/>
    <x v="0"/>
    <x v="18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1"/>
    <x v="0"/>
    <x v="5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0"/>
    <x v="0"/>
    <x v="6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0"/>
    <x v="0"/>
    <x v="7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0"/>
    <x v="0"/>
    <x v="8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1"/>
    <x v="0"/>
    <x v="9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0"/>
    <x v="1"/>
    <x v="10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0"/>
    <x v="1"/>
    <x v="11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0"/>
    <x v="1"/>
    <x v="12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0"/>
    <x v="1"/>
    <x v="13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9"/>
    <x v="0"/>
    <x v="1"/>
    <x v="14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0"/>
    <x v="0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0"/>
    <x v="1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0"/>
    <x v="2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0"/>
    <x v="3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1"/>
    <x v="0"/>
    <x v="15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1"/>
    <x v="0"/>
    <x v="16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1"/>
    <x v="0"/>
    <x v="17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1"/>
    <x v="0"/>
    <x v="18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1"/>
    <x v="0"/>
    <x v="5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0"/>
    <x v="6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0"/>
    <x v="7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0"/>
    <x v="8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1"/>
    <x v="0"/>
    <x v="9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1"/>
    <x v="10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1"/>
    <x v="11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1"/>
    <x v="12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1"/>
    <x v="13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0"/>
    <x v="0"/>
    <x v="1"/>
    <x v="14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0"/>
    <x v="0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0"/>
    <x v="1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0"/>
    <x v="2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0"/>
    <x v="3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1"/>
    <x v="0"/>
    <x v="15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1"/>
    <x v="0"/>
    <x v="16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1"/>
    <x v="0"/>
    <x v="17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1"/>
    <x v="0"/>
    <x v="18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1"/>
    <x v="0"/>
    <x v="5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0"/>
    <x v="6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0"/>
    <x v="7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0"/>
    <x v="8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1"/>
    <x v="0"/>
    <x v="9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1"/>
    <x v="10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1"/>
    <x v="11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1"/>
    <x v="12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1"/>
    <x v="13"/>
    <e v="#DIV/0!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  <r>
    <x v="11"/>
    <x v="0"/>
    <x v="1"/>
    <x v="14"/>
    <s v="tamam"/>
    <e v="#DIV/0!"/>
    <e v="#DIV/0!"/>
    <e v="#DIV/0!"/>
    <e v="#DIV/0!"/>
    <n v="0"/>
    <n v="0"/>
    <e v="#DIV/0!"/>
    <n v="0"/>
    <n v="0"/>
    <n v="0"/>
    <n v="0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2">
  <r>
    <x v="0"/>
    <s v="Hatalı Malzeme Sebebiyle Bekleme"/>
    <s v="Kesim - Büküm"/>
    <m/>
    <m/>
    <m/>
    <m/>
    <m/>
    <m/>
    <m/>
    <m/>
    <m/>
    <m/>
    <m/>
    <m/>
    <n v="0"/>
  </r>
  <r>
    <x v="0"/>
    <s v="Hatalı Malzeme Sebebiyle Bekleme"/>
    <s v="Talaşlı İmalat"/>
    <m/>
    <m/>
    <m/>
    <m/>
    <m/>
    <m/>
    <m/>
    <m/>
    <m/>
    <m/>
    <m/>
    <m/>
    <n v="0"/>
  </r>
  <r>
    <x v="0"/>
    <s v="Hatalı Malzeme Sebebiyle Bekleme"/>
    <s v="Kaynaklı İmalat"/>
    <m/>
    <m/>
    <m/>
    <m/>
    <m/>
    <m/>
    <m/>
    <m/>
    <m/>
    <m/>
    <m/>
    <m/>
    <n v="0"/>
  </r>
  <r>
    <x v="0"/>
    <s v="Hatalı Malzeme Sebebiyle Bekleme"/>
    <s v="Tesisathane"/>
    <m/>
    <m/>
    <m/>
    <m/>
    <m/>
    <m/>
    <m/>
    <m/>
    <m/>
    <m/>
    <m/>
    <m/>
    <n v="0"/>
  </r>
  <r>
    <x v="0"/>
    <s v="Hatalı Malzeme Sebebiyle Bekleme"/>
    <s v="Silindirhane"/>
    <m/>
    <m/>
    <m/>
    <m/>
    <m/>
    <m/>
    <m/>
    <m/>
    <m/>
    <m/>
    <m/>
    <m/>
    <n v="0"/>
  </r>
  <r>
    <x v="0"/>
    <s v="Hatalı Malzeme Sebebiyle Bekleme"/>
    <s v="Montaj"/>
    <m/>
    <m/>
    <m/>
    <m/>
    <m/>
    <m/>
    <m/>
    <m/>
    <m/>
    <m/>
    <m/>
    <m/>
    <n v="0"/>
  </r>
  <r>
    <x v="0"/>
    <s v="Hatalı Malzeme Sebebiyle Bekleme"/>
    <s v="Boyahane"/>
    <m/>
    <m/>
    <m/>
    <m/>
    <m/>
    <m/>
    <m/>
    <m/>
    <m/>
    <m/>
    <m/>
    <m/>
    <n v="0"/>
  </r>
  <r>
    <x v="0"/>
    <s v="Hatalı Malzeme Sebebiyle Bekleme"/>
    <s v="Isıl İşlem"/>
    <m/>
    <m/>
    <m/>
    <m/>
    <m/>
    <m/>
    <m/>
    <m/>
    <m/>
    <m/>
    <m/>
    <m/>
    <n v="0"/>
  </r>
  <r>
    <x v="0"/>
    <s v="Hatalı Malzeme Sebebiyle Bekleme"/>
    <s v="Mangan Fosfat"/>
    <m/>
    <m/>
    <m/>
    <m/>
    <m/>
    <m/>
    <m/>
    <m/>
    <m/>
    <m/>
    <m/>
    <m/>
    <n v="0"/>
  </r>
  <r>
    <x v="0"/>
    <s v="Hatalı Malzeme Sebebiyle Bekleme"/>
    <s v="Lojistik / Üretim Planlama"/>
    <m/>
    <m/>
    <m/>
    <m/>
    <m/>
    <m/>
    <m/>
    <m/>
    <m/>
    <m/>
    <m/>
    <m/>
    <n v="0"/>
  </r>
  <r>
    <x v="0"/>
    <s v="Hatalı Malzeme Sebebiyle Bekleme"/>
    <s v="Kalite"/>
    <m/>
    <m/>
    <m/>
    <n v="20"/>
    <m/>
    <m/>
    <m/>
    <m/>
    <m/>
    <m/>
    <m/>
    <m/>
    <n v="20"/>
  </r>
  <r>
    <x v="0"/>
    <s v="Hatalı Malzeme Sebebiyle Bekleme"/>
    <s v="Kalıp - Aparat"/>
    <m/>
    <m/>
    <m/>
    <m/>
    <m/>
    <m/>
    <m/>
    <m/>
    <m/>
    <m/>
    <m/>
    <m/>
    <n v="0"/>
  </r>
  <r>
    <x v="0"/>
    <s v="Hatalı Malzeme Sebebiyle Bekleme"/>
    <s v="Mühendislik"/>
    <m/>
    <m/>
    <m/>
    <m/>
    <m/>
    <m/>
    <m/>
    <m/>
    <m/>
    <m/>
    <m/>
    <m/>
    <n v="0"/>
  </r>
  <r>
    <x v="0"/>
    <s v="Hatalı Malzeme Sebebiyle Bekleme"/>
    <s v="Satış Pazarlama"/>
    <m/>
    <m/>
    <m/>
    <m/>
    <m/>
    <m/>
    <m/>
    <m/>
    <m/>
    <m/>
    <m/>
    <m/>
    <n v="0"/>
  </r>
  <r>
    <x v="0"/>
    <s v="Hatalı Malzeme Sebebiyle Bekleme"/>
    <s v="Diğer (Belirtiniz)"/>
    <m/>
    <m/>
    <m/>
    <m/>
    <m/>
    <m/>
    <m/>
    <n v="25"/>
    <n v="100"/>
    <m/>
    <m/>
    <m/>
    <n v="125"/>
  </r>
  <r>
    <x v="0"/>
    <s v="Malzeme Gelmediği İçin Bekleme"/>
    <s v="Kesim - Büküm"/>
    <n v="18000"/>
    <m/>
    <m/>
    <n v="1500"/>
    <m/>
    <m/>
    <m/>
    <m/>
    <m/>
    <m/>
    <m/>
    <m/>
    <n v="19500"/>
  </r>
  <r>
    <x v="0"/>
    <s v="Malzeme Gelmediği İçin Bekleme"/>
    <s v="Talaşlı İmalat"/>
    <n v="6000"/>
    <m/>
    <m/>
    <n v="90"/>
    <m/>
    <m/>
    <m/>
    <m/>
    <m/>
    <m/>
    <m/>
    <m/>
    <n v="6090"/>
  </r>
  <r>
    <x v="0"/>
    <s v="Malzeme Gelmediği İçin Bekleme"/>
    <s v="Kaynaklı İmalat"/>
    <n v="9000"/>
    <m/>
    <m/>
    <n v="70"/>
    <m/>
    <m/>
    <m/>
    <n v="80"/>
    <m/>
    <m/>
    <m/>
    <m/>
    <n v="9150"/>
  </r>
  <r>
    <x v="0"/>
    <s v="Malzeme Gelmediği İçin Bekleme"/>
    <s v="Tesisathane"/>
    <m/>
    <m/>
    <m/>
    <m/>
    <m/>
    <m/>
    <m/>
    <m/>
    <m/>
    <m/>
    <m/>
    <m/>
    <n v="0"/>
  </r>
  <r>
    <x v="0"/>
    <s v="Malzeme Gelmediği İçin Bekleme"/>
    <s v="Silindirhane"/>
    <m/>
    <m/>
    <m/>
    <m/>
    <m/>
    <m/>
    <m/>
    <m/>
    <m/>
    <m/>
    <m/>
    <m/>
    <n v="0"/>
  </r>
  <r>
    <x v="0"/>
    <s v="Malzeme Gelmediği İçin Bekleme"/>
    <s v="Montaj"/>
    <m/>
    <m/>
    <m/>
    <m/>
    <m/>
    <m/>
    <m/>
    <m/>
    <m/>
    <m/>
    <m/>
    <m/>
    <n v="0"/>
  </r>
  <r>
    <x v="0"/>
    <s v="Malzeme Gelmediği İçin Bekleme"/>
    <s v="Boyahane"/>
    <m/>
    <m/>
    <m/>
    <m/>
    <m/>
    <m/>
    <m/>
    <m/>
    <m/>
    <m/>
    <m/>
    <m/>
    <n v="0"/>
  </r>
  <r>
    <x v="0"/>
    <s v="Malzeme Gelmediği İçin Bekleme"/>
    <s v="Isıl İşlem"/>
    <m/>
    <m/>
    <m/>
    <m/>
    <m/>
    <m/>
    <m/>
    <m/>
    <m/>
    <m/>
    <m/>
    <m/>
    <n v="0"/>
  </r>
  <r>
    <x v="0"/>
    <s v="Malzeme Gelmediği İçin Bekleme"/>
    <s v="Mangan Fosfat"/>
    <m/>
    <m/>
    <m/>
    <m/>
    <m/>
    <m/>
    <m/>
    <m/>
    <m/>
    <m/>
    <m/>
    <m/>
    <n v="0"/>
  </r>
  <r>
    <x v="0"/>
    <s v="Malzeme Gelmediği İçin Bekleme"/>
    <s v="Lojistik / Üretim Planlama"/>
    <m/>
    <m/>
    <m/>
    <m/>
    <m/>
    <m/>
    <m/>
    <m/>
    <m/>
    <m/>
    <m/>
    <m/>
    <n v="0"/>
  </r>
  <r>
    <x v="0"/>
    <s v="Malzeme Gelmediği İçin Bekleme"/>
    <s v="Kalite"/>
    <m/>
    <m/>
    <m/>
    <m/>
    <m/>
    <m/>
    <m/>
    <m/>
    <m/>
    <m/>
    <m/>
    <m/>
    <n v="0"/>
  </r>
  <r>
    <x v="0"/>
    <s v="Malzeme Gelmediği İçin Bekleme"/>
    <s v="Kalıp - Aparat"/>
    <m/>
    <m/>
    <m/>
    <m/>
    <m/>
    <m/>
    <m/>
    <m/>
    <m/>
    <m/>
    <m/>
    <m/>
    <n v="0"/>
  </r>
  <r>
    <x v="0"/>
    <s v="Malzeme Gelmediği İçin Bekleme"/>
    <s v="Mühendislik"/>
    <m/>
    <m/>
    <m/>
    <m/>
    <m/>
    <m/>
    <m/>
    <m/>
    <m/>
    <m/>
    <m/>
    <m/>
    <n v="0"/>
  </r>
  <r>
    <x v="0"/>
    <s v="Malzeme Gelmediği İçin Bekleme"/>
    <s v="Satış Pazarlama"/>
    <m/>
    <m/>
    <m/>
    <m/>
    <m/>
    <m/>
    <m/>
    <m/>
    <m/>
    <m/>
    <m/>
    <m/>
    <n v="0"/>
  </r>
  <r>
    <x v="0"/>
    <s v="Malzeme Gelmediği İçin Bekleme"/>
    <s v="Diğer (Belirtiniz)"/>
    <m/>
    <m/>
    <m/>
    <n v="155"/>
    <m/>
    <m/>
    <m/>
    <n v="1316"/>
    <n v="890"/>
    <m/>
    <m/>
    <m/>
    <n v="2361"/>
  </r>
  <r>
    <x v="0"/>
    <s v="Ayar Kaybı"/>
    <m/>
    <n v="9000"/>
    <m/>
    <m/>
    <n v="395"/>
    <m/>
    <n v="150"/>
    <m/>
    <n v="80"/>
    <n v="320"/>
    <m/>
    <m/>
    <m/>
    <n v="9945"/>
  </r>
  <r>
    <x v="0"/>
    <s v="Tesis / Tezgah Arızası / Elektrik Kesintisi"/>
    <m/>
    <m/>
    <m/>
    <m/>
    <m/>
    <m/>
    <m/>
    <m/>
    <m/>
    <n v="35"/>
    <m/>
    <m/>
    <m/>
    <n v="35"/>
  </r>
  <r>
    <x v="0"/>
    <s v="Kalıp / Takım / Ekipman Arızası"/>
    <m/>
    <m/>
    <m/>
    <m/>
    <n v="120"/>
    <m/>
    <n v="265"/>
    <n v="40"/>
    <n v="335"/>
    <n v="185"/>
    <m/>
    <m/>
    <m/>
    <n v="945"/>
  </r>
  <r>
    <x v="0"/>
    <s v="Tezgah / Tesis Temizlik Bakım"/>
    <m/>
    <m/>
    <m/>
    <m/>
    <n v="1007"/>
    <m/>
    <n v="2791"/>
    <n v="330"/>
    <n v="1725"/>
    <n v="3560"/>
    <m/>
    <m/>
    <m/>
    <n v="9413"/>
  </r>
  <r>
    <x v="0"/>
    <s v="Muayene Sonucu Bekleme"/>
    <m/>
    <n v="18000"/>
    <m/>
    <m/>
    <n v="220"/>
    <m/>
    <n v="470"/>
    <n v="100"/>
    <n v="170"/>
    <n v="210"/>
    <m/>
    <m/>
    <m/>
    <n v="19170"/>
  </r>
  <r>
    <x v="0"/>
    <s v="Standart Dışı Takım/Kalıp ile Çalışma"/>
    <m/>
    <n v="3000"/>
    <m/>
    <m/>
    <m/>
    <m/>
    <m/>
    <m/>
    <n v="480"/>
    <m/>
    <m/>
    <m/>
    <m/>
    <n v="3480"/>
  </r>
  <r>
    <x v="0"/>
    <s v="Tezgah Rejime Sokma Zamanı"/>
    <m/>
    <m/>
    <m/>
    <m/>
    <m/>
    <m/>
    <n v="60"/>
    <m/>
    <m/>
    <m/>
    <m/>
    <m/>
    <m/>
    <n v="60"/>
  </r>
  <r>
    <x v="0"/>
    <s v="Takım Hazırlama Zamanı"/>
    <m/>
    <m/>
    <m/>
    <m/>
    <m/>
    <m/>
    <m/>
    <m/>
    <m/>
    <m/>
    <m/>
    <m/>
    <m/>
    <n v="0"/>
  </r>
  <r>
    <x v="0"/>
    <s v="Tecrübe / Ön Seri Çalışması"/>
    <m/>
    <m/>
    <m/>
    <m/>
    <m/>
    <m/>
    <m/>
    <m/>
    <m/>
    <m/>
    <m/>
    <m/>
    <m/>
    <n v="0"/>
  </r>
  <r>
    <x v="0"/>
    <s v="Önceki İstasyonu Bekleme (Montaj)"/>
    <m/>
    <m/>
    <m/>
    <m/>
    <m/>
    <m/>
    <m/>
    <m/>
    <n v="120"/>
    <m/>
    <m/>
    <m/>
    <m/>
    <n v="120"/>
  </r>
  <r>
    <x v="0"/>
    <s v="Eksik Parça Tamamlama"/>
    <m/>
    <n v="6000"/>
    <m/>
    <m/>
    <m/>
    <m/>
    <n v="30"/>
    <n v="50"/>
    <m/>
    <n v="130"/>
    <m/>
    <m/>
    <m/>
    <n v="6210"/>
  </r>
  <r>
    <x v="0"/>
    <s v="Vinç Bekleme"/>
    <m/>
    <n v="1800"/>
    <m/>
    <m/>
    <n v="620"/>
    <m/>
    <n v="1475"/>
    <n v="125"/>
    <n v="865"/>
    <n v="1175"/>
    <m/>
    <m/>
    <m/>
    <n v="6060"/>
  </r>
  <r>
    <x v="0"/>
    <s v="Forklift Bekleme"/>
    <m/>
    <n v="1200"/>
    <m/>
    <m/>
    <n v="110"/>
    <m/>
    <n v="305"/>
    <m/>
    <n v="365"/>
    <n v="320"/>
    <m/>
    <m/>
    <m/>
    <n v="2300"/>
  </r>
  <r>
    <x v="0"/>
    <s v="Kaizen Çalışmaları"/>
    <m/>
    <m/>
    <m/>
    <m/>
    <m/>
    <m/>
    <m/>
    <m/>
    <m/>
    <m/>
    <m/>
    <m/>
    <m/>
    <n v="0"/>
  </r>
  <r>
    <x v="0"/>
    <s v="5S Çalışmaları"/>
    <m/>
    <m/>
    <m/>
    <m/>
    <m/>
    <m/>
    <m/>
    <m/>
    <m/>
    <n v="60"/>
    <m/>
    <m/>
    <m/>
    <n v="60"/>
  </r>
  <r>
    <x v="0"/>
    <s v="Toplantı / Görüşme"/>
    <m/>
    <n v="4800"/>
    <m/>
    <m/>
    <n v="30"/>
    <m/>
    <n v="30"/>
    <m/>
    <m/>
    <n v="390"/>
    <m/>
    <m/>
    <m/>
    <n v="5250"/>
  </r>
  <r>
    <x v="0"/>
    <s v="Eğitim"/>
    <m/>
    <m/>
    <m/>
    <m/>
    <n v="300"/>
    <m/>
    <n v="355"/>
    <n v="110"/>
    <m/>
    <n v="595"/>
    <m/>
    <m/>
    <m/>
    <n v="1360"/>
  </r>
  <r>
    <x v="0"/>
    <s v="Görevli"/>
    <m/>
    <m/>
    <m/>
    <m/>
    <m/>
    <m/>
    <m/>
    <m/>
    <m/>
    <n v="60"/>
    <m/>
    <m/>
    <m/>
    <n v="60"/>
  </r>
  <r>
    <x v="0"/>
    <s v="İş Verilemedi"/>
    <m/>
    <m/>
    <m/>
    <m/>
    <m/>
    <m/>
    <m/>
    <n v="200"/>
    <m/>
    <m/>
    <m/>
    <m/>
    <m/>
    <n v="200"/>
  </r>
  <r>
    <x v="0"/>
    <s v="Revir "/>
    <m/>
    <n v="600"/>
    <m/>
    <m/>
    <m/>
    <m/>
    <n v="30"/>
    <n v="30"/>
    <n v="210"/>
    <m/>
    <m/>
    <m/>
    <m/>
    <n v="870"/>
  </r>
  <r>
    <x v="1"/>
    <s v="Hatalı Malzeme Sebebiyle Bekleme"/>
    <s v="Kesim - Büküm"/>
    <n v="160"/>
    <n v="130"/>
    <n v="160"/>
    <m/>
    <m/>
    <m/>
    <m/>
    <m/>
    <m/>
    <m/>
    <m/>
    <m/>
    <n v="450"/>
  </r>
  <r>
    <x v="1"/>
    <s v="Hatalı Malzeme Sebebiyle Bekleme"/>
    <s v="Talaşlı İmalat"/>
    <m/>
    <n v="40"/>
    <m/>
    <m/>
    <m/>
    <m/>
    <m/>
    <n v="440"/>
    <m/>
    <m/>
    <m/>
    <m/>
    <n v="480"/>
  </r>
  <r>
    <x v="1"/>
    <s v="Hatalı Malzeme Sebebiyle Bekleme"/>
    <s v="Kaynaklı İmalat"/>
    <m/>
    <m/>
    <n v="715"/>
    <m/>
    <m/>
    <m/>
    <m/>
    <m/>
    <m/>
    <m/>
    <m/>
    <m/>
    <n v="715"/>
  </r>
  <r>
    <x v="1"/>
    <s v="Hatalı Malzeme Sebebiyle Bekleme"/>
    <s v="Tesisathane"/>
    <m/>
    <m/>
    <m/>
    <m/>
    <m/>
    <m/>
    <m/>
    <m/>
    <m/>
    <m/>
    <m/>
    <m/>
    <n v="0"/>
  </r>
  <r>
    <x v="1"/>
    <s v="Hatalı Malzeme Sebebiyle Bekleme"/>
    <s v="Silindirhane"/>
    <m/>
    <m/>
    <m/>
    <m/>
    <m/>
    <m/>
    <m/>
    <m/>
    <m/>
    <m/>
    <m/>
    <m/>
    <n v="0"/>
  </r>
  <r>
    <x v="1"/>
    <s v="Hatalı Malzeme Sebebiyle Bekleme"/>
    <s v="Montaj"/>
    <m/>
    <m/>
    <m/>
    <m/>
    <m/>
    <m/>
    <m/>
    <m/>
    <m/>
    <m/>
    <m/>
    <m/>
    <n v="0"/>
  </r>
  <r>
    <x v="1"/>
    <s v="Hatalı Malzeme Sebebiyle Bekleme"/>
    <s v="Boyahane"/>
    <m/>
    <m/>
    <m/>
    <m/>
    <m/>
    <m/>
    <m/>
    <m/>
    <m/>
    <m/>
    <m/>
    <m/>
    <n v="0"/>
  </r>
  <r>
    <x v="1"/>
    <s v="Hatalı Malzeme Sebebiyle Bekleme"/>
    <s v="Isıl İşlem"/>
    <m/>
    <m/>
    <m/>
    <m/>
    <m/>
    <m/>
    <m/>
    <m/>
    <m/>
    <m/>
    <m/>
    <m/>
    <n v="0"/>
  </r>
  <r>
    <x v="1"/>
    <s v="Hatalı Malzeme Sebebiyle Bekleme"/>
    <s v="Mangan Fosfat"/>
    <m/>
    <m/>
    <m/>
    <m/>
    <m/>
    <m/>
    <m/>
    <m/>
    <m/>
    <m/>
    <m/>
    <m/>
    <n v="0"/>
  </r>
  <r>
    <x v="1"/>
    <s v="Hatalı Malzeme Sebebiyle Bekleme"/>
    <s v="Lojistik / Üretim Planlama"/>
    <m/>
    <m/>
    <m/>
    <m/>
    <m/>
    <m/>
    <n v="460"/>
    <m/>
    <m/>
    <m/>
    <m/>
    <m/>
    <n v="460"/>
  </r>
  <r>
    <x v="1"/>
    <s v="Hatalı Malzeme Sebebiyle Bekleme"/>
    <s v="Kalite"/>
    <m/>
    <m/>
    <m/>
    <m/>
    <m/>
    <m/>
    <m/>
    <m/>
    <m/>
    <m/>
    <m/>
    <m/>
    <n v="0"/>
  </r>
  <r>
    <x v="1"/>
    <s v="Hatalı Malzeme Sebebiyle Bekleme"/>
    <s v="Kalıp - Aparat"/>
    <m/>
    <m/>
    <m/>
    <m/>
    <m/>
    <m/>
    <m/>
    <m/>
    <m/>
    <m/>
    <m/>
    <m/>
    <n v="0"/>
  </r>
  <r>
    <x v="1"/>
    <s v="Hatalı Malzeme Sebebiyle Bekleme"/>
    <s v="Mühendislik"/>
    <m/>
    <m/>
    <m/>
    <m/>
    <m/>
    <m/>
    <m/>
    <m/>
    <m/>
    <m/>
    <m/>
    <m/>
    <n v="0"/>
  </r>
  <r>
    <x v="1"/>
    <s v="Hatalı Malzeme Sebebiyle Bekleme"/>
    <s v="Satış Pazarlama"/>
    <m/>
    <m/>
    <m/>
    <m/>
    <m/>
    <m/>
    <m/>
    <m/>
    <m/>
    <m/>
    <m/>
    <m/>
    <n v="0"/>
  </r>
  <r>
    <x v="1"/>
    <s v="Hatalı Malzeme Sebebiyle Bekleme"/>
    <s v="Diğer (Belirtiniz)"/>
    <m/>
    <m/>
    <m/>
    <m/>
    <m/>
    <m/>
    <m/>
    <m/>
    <m/>
    <m/>
    <m/>
    <m/>
    <n v="0"/>
  </r>
  <r>
    <x v="1"/>
    <s v="Malzeme Gelmediği İçin Bekleme"/>
    <s v="Kesim - Büküm"/>
    <m/>
    <m/>
    <m/>
    <m/>
    <m/>
    <m/>
    <n v="760"/>
    <m/>
    <m/>
    <m/>
    <m/>
    <m/>
    <n v="760"/>
  </r>
  <r>
    <x v="1"/>
    <s v="Malzeme Gelmediği İçin Bekleme"/>
    <s v="Talaşlı İmalat"/>
    <m/>
    <m/>
    <m/>
    <m/>
    <m/>
    <m/>
    <n v="340"/>
    <m/>
    <m/>
    <m/>
    <m/>
    <m/>
    <n v="340"/>
  </r>
  <r>
    <x v="1"/>
    <s v="Malzeme Gelmediği İçin Bekleme"/>
    <s v="Kaynaklı İmalat"/>
    <m/>
    <m/>
    <m/>
    <m/>
    <m/>
    <m/>
    <m/>
    <m/>
    <m/>
    <m/>
    <m/>
    <m/>
    <n v="0"/>
  </r>
  <r>
    <x v="1"/>
    <s v="Malzeme Gelmediği İçin Bekleme"/>
    <s v="Tesisathane"/>
    <m/>
    <m/>
    <m/>
    <m/>
    <m/>
    <m/>
    <m/>
    <m/>
    <m/>
    <m/>
    <m/>
    <m/>
    <n v="0"/>
  </r>
  <r>
    <x v="1"/>
    <s v="Malzeme Gelmediği İçin Bekleme"/>
    <s v="Silindirhane"/>
    <m/>
    <m/>
    <m/>
    <m/>
    <m/>
    <m/>
    <m/>
    <m/>
    <m/>
    <m/>
    <m/>
    <m/>
    <n v="0"/>
  </r>
  <r>
    <x v="1"/>
    <s v="Malzeme Gelmediği İçin Bekleme"/>
    <s v="Montaj"/>
    <m/>
    <m/>
    <m/>
    <m/>
    <m/>
    <m/>
    <m/>
    <m/>
    <m/>
    <m/>
    <m/>
    <m/>
    <n v="0"/>
  </r>
  <r>
    <x v="1"/>
    <s v="Malzeme Gelmediği İçin Bekleme"/>
    <s v="Boyahane"/>
    <m/>
    <m/>
    <m/>
    <m/>
    <m/>
    <m/>
    <m/>
    <m/>
    <m/>
    <m/>
    <m/>
    <m/>
    <n v="0"/>
  </r>
  <r>
    <x v="1"/>
    <s v="Malzeme Gelmediği İçin Bekleme"/>
    <s v="Isıl İşlem"/>
    <m/>
    <m/>
    <m/>
    <m/>
    <m/>
    <m/>
    <m/>
    <m/>
    <m/>
    <m/>
    <m/>
    <m/>
    <n v="0"/>
  </r>
  <r>
    <x v="1"/>
    <s v="Malzeme Gelmediği İçin Bekleme"/>
    <s v="Mangan Fosfat"/>
    <m/>
    <m/>
    <m/>
    <m/>
    <m/>
    <m/>
    <m/>
    <m/>
    <m/>
    <m/>
    <m/>
    <m/>
    <n v="0"/>
  </r>
  <r>
    <x v="1"/>
    <s v="Malzeme Gelmediği İçin Bekleme"/>
    <s v="Lojistik / Üretim Planlama"/>
    <m/>
    <m/>
    <m/>
    <m/>
    <m/>
    <m/>
    <m/>
    <n v="3010"/>
    <m/>
    <m/>
    <m/>
    <m/>
    <n v="3010"/>
  </r>
  <r>
    <x v="1"/>
    <s v="Malzeme Gelmediği İçin Bekleme"/>
    <s v="Kalite"/>
    <m/>
    <m/>
    <m/>
    <m/>
    <m/>
    <m/>
    <m/>
    <m/>
    <m/>
    <m/>
    <m/>
    <m/>
    <n v="0"/>
  </r>
  <r>
    <x v="1"/>
    <s v="Malzeme Gelmediği İçin Bekleme"/>
    <s v="Kalıp - Aparat"/>
    <m/>
    <m/>
    <m/>
    <m/>
    <m/>
    <m/>
    <m/>
    <m/>
    <m/>
    <m/>
    <m/>
    <m/>
    <n v="0"/>
  </r>
  <r>
    <x v="1"/>
    <s v="Malzeme Gelmediği İçin Bekleme"/>
    <s v="Mühendislik"/>
    <m/>
    <m/>
    <m/>
    <m/>
    <m/>
    <m/>
    <m/>
    <m/>
    <m/>
    <m/>
    <m/>
    <m/>
    <n v="0"/>
  </r>
  <r>
    <x v="1"/>
    <s v="Malzeme Gelmediği İçin Bekleme"/>
    <s v="Satış Pazarlama"/>
    <m/>
    <m/>
    <m/>
    <m/>
    <m/>
    <m/>
    <m/>
    <m/>
    <m/>
    <m/>
    <m/>
    <m/>
    <n v="0"/>
  </r>
  <r>
    <x v="1"/>
    <s v="Malzeme Gelmediği İçin Bekleme"/>
    <s v="Diğer (Belirtiniz)"/>
    <m/>
    <m/>
    <m/>
    <m/>
    <m/>
    <m/>
    <m/>
    <m/>
    <n v="185"/>
    <m/>
    <m/>
    <m/>
    <n v="185"/>
  </r>
  <r>
    <x v="1"/>
    <s v="Ayar Kaybı"/>
    <m/>
    <n v="1360"/>
    <n v="300"/>
    <n v="1150"/>
    <n v="1400"/>
    <n v="380"/>
    <m/>
    <n v="3665"/>
    <n v="4410"/>
    <m/>
    <m/>
    <m/>
    <m/>
    <n v="12665"/>
  </r>
  <r>
    <x v="1"/>
    <s v="Tesis / Tezgah Arızası / Elektrik Kesintisi"/>
    <m/>
    <m/>
    <m/>
    <n v="300"/>
    <m/>
    <m/>
    <m/>
    <m/>
    <m/>
    <m/>
    <m/>
    <m/>
    <m/>
    <n v="300"/>
  </r>
  <r>
    <x v="1"/>
    <s v="Kalıp / Takım / Ekipman Arızası"/>
    <m/>
    <m/>
    <n v="1090"/>
    <m/>
    <m/>
    <m/>
    <m/>
    <m/>
    <m/>
    <m/>
    <m/>
    <m/>
    <m/>
    <n v="1090"/>
  </r>
  <r>
    <x v="1"/>
    <s v="Tezgah / Tesis Temizlik Bakım"/>
    <m/>
    <n v="3560"/>
    <m/>
    <n v="6000"/>
    <m/>
    <n v="1400"/>
    <m/>
    <n v="3620"/>
    <n v="3070"/>
    <n v="1965"/>
    <m/>
    <m/>
    <m/>
    <n v="19615"/>
  </r>
  <r>
    <x v="1"/>
    <s v="Muayene Sonucu Bekleme"/>
    <m/>
    <m/>
    <n v="600"/>
    <n v="2000"/>
    <m/>
    <m/>
    <m/>
    <m/>
    <m/>
    <m/>
    <m/>
    <m/>
    <m/>
    <n v="2600"/>
  </r>
  <r>
    <x v="1"/>
    <s v="Standart Dışı Takım/Kalıp ile Çalışma"/>
    <m/>
    <n v="1080"/>
    <n v="1120"/>
    <m/>
    <m/>
    <n v="1780"/>
    <m/>
    <n v="6120"/>
    <m/>
    <m/>
    <m/>
    <m/>
    <m/>
    <n v="10100"/>
  </r>
  <r>
    <x v="1"/>
    <s v="Tezgah Rejime Sokma Zamanı"/>
    <m/>
    <n v="810"/>
    <n v="400"/>
    <n v="160"/>
    <n v="1260"/>
    <m/>
    <m/>
    <m/>
    <m/>
    <m/>
    <m/>
    <m/>
    <m/>
    <n v="2630"/>
  </r>
  <r>
    <x v="1"/>
    <s v="Takım Hazırlama Zamanı"/>
    <m/>
    <m/>
    <m/>
    <m/>
    <m/>
    <m/>
    <m/>
    <m/>
    <m/>
    <m/>
    <m/>
    <m/>
    <m/>
    <n v="0"/>
  </r>
  <r>
    <x v="1"/>
    <s v="Tecrübe / Ön Seri Çalışması"/>
    <m/>
    <n v="10110"/>
    <m/>
    <n v="6000"/>
    <n v="2850"/>
    <m/>
    <m/>
    <n v="4160"/>
    <m/>
    <m/>
    <m/>
    <m/>
    <m/>
    <n v="23120"/>
  </r>
  <r>
    <x v="1"/>
    <s v="Önceki İstasyonu Bekleme (Montaj)"/>
    <m/>
    <m/>
    <m/>
    <m/>
    <m/>
    <m/>
    <m/>
    <m/>
    <m/>
    <m/>
    <m/>
    <m/>
    <m/>
    <n v="0"/>
  </r>
  <r>
    <x v="1"/>
    <s v="Eksik Parça Tamamlama"/>
    <m/>
    <m/>
    <m/>
    <m/>
    <m/>
    <m/>
    <m/>
    <m/>
    <m/>
    <n v="300"/>
    <m/>
    <m/>
    <m/>
    <n v="300"/>
  </r>
  <r>
    <x v="1"/>
    <s v="Vinç Bekleme"/>
    <m/>
    <n v="110"/>
    <n v="60"/>
    <n v="100"/>
    <n v="280"/>
    <n v="240"/>
    <m/>
    <n v="1255"/>
    <n v="610"/>
    <n v="1465"/>
    <m/>
    <m/>
    <m/>
    <n v="4120"/>
  </r>
  <r>
    <x v="1"/>
    <s v="Forklift Bekleme"/>
    <m/>
    <m/>
    <m/>
    <m/>
    <m/>
    <m/>
    <m/>
    <m/>
    <m/>
    <n v="100"/>
    <m/>
    <m/>
    <m/>
    <n v="100"/>
  </r>
  <r>
    <x v="1"/>
    <s v="Kaizen Çalışmaları"/>
    <m/>
    <m/>
    <m/>
    <m/>
    <m/>
    <m/>
    <m/>
    <m/>
    <m/>
    <m/>
    <m/>
    <m/>
    <m/>
    <n v="0"/>
  </r>
  <r>
    <x v="1"/>
    <s v="5S Çalışmaları"/>
    <m/>
    <m/>
    <m/>
    <m/>
    <m/>
    <m/>
    <m/>
    <m/>
    <m/>
    <m/>
    <m/>
    <m/>
    <m/>
    <n v="0"/>
  </r>
  <r>
    <x v="1"/>
    <s v="Toplantı / Görüşme"/>
    <m/>
    <m/>
    <m/>
    <m/>
    <m/>
    <m/>
    <m/>
    <m/>
    <m/>
    <m/>
    <m/>
    <m/>
    <m/>
    <n v="0"/>
  </r>
  <r>
    <x v="1"/>
    <s v="Eğitim"/>
    <m/>
    <n v="125"/>
    <m/>
    <m/>
    <n v="7560"/>
    <m/>
    <m/>
    <m/>
    <m/>
    <m/>
    <m/>
    <m/>
    <m/>
    <n v="7685"/>
  </r>
  <r>
    <x v="1"/>
    <s v="Görevli"/>
    <m/>
    <m/>
    <m/>
    <m/>
    <m/>
    <m/>
    <m/>
    <m/>
    <m/>
    <m/>
    <m/>
    <m/>
    <m/>
    <n v="0"/>
  </r>
  <r>
    <x v="1"/>
    <s v="İş Verilemedi"/>
    <m/>
    <m/>
    <m/>
    <m/>
    <m/>
    <m/>
    <m/>
    <m/>
    <m/>
    <m/>
    <m/>
    <m/>
    <m/>
    <n v="0"/>
  </r>
  <r>
    <x v="1"/>
    <s v="Revir "/>
    <m/>
    <m/>
    <m/>
    <m/>
    <m/>
    <m/>
    <m/>
    <m/>
    <m/>
    <n v="335"/>
    <m/>
    <m/>
    <m/>
    <n v="335"/>
  </r>
  <r>
    <x v="2"/>
    <s v="Hatalı Malzeme Sebebiyle Bekleme"/>
    <s v="Kesim - Büküm"/>
    <m/>
    <n v="130"/>
    <m/>
    <m/>
    <m/>
    <m/>
    <m/>
    <m/>
    <m/>
    <m/>
    <m/>
    <m/>
    <n v="130"/>
  </r>
  <r>
    <x v="2"/>
    <s v="Hatalı Malzeme Sebebiyle Bekleme"/>
    <s v="Talaşlı İmalat"/>
    <m/>
    <m/>
    <m/>
    <m/>
    <m/>
    <m/>
    <m/>
    <m/>
    <m/>
    <m/>
    <m/>
    <m/>
    <n v="0"/>
  </r>
  <r>
    <x v="2"/>
    <s v="Hatalı Malzeme Sebebiyle Bekleme"/>
    <s v="Kaynaklı İmalat"/>
    <m/>
    <m/>
    <n v="90"/>
    <m/>
    <m/>
    <m/>
    <m/>
    <n v="3180"/>
    <m/>
    <m/>
    <m/>
    <m/>
    <n v="3270"/>
  </r>
  <r>
    <x v="2"/>
    <s v="Hatalı Malzeme Sebebiyle Bekleme"/>
    <s v="Tesisathane"/>
    <m/>
    <m/>
    <m/>
    <m/>
    <m/>
    <m/>
    <m/>
    <m/>
    <m/>
    <m/>
    <m/>
    <m/>
    <n v="0"/>
  </r>
  <r>
    <x v="2"/>
    <s v="Hatalı Malzeme Sebebiyle Bekleme"/>
    <s v="Silindirhane"/>
    <m/>
    <m/>
    <m/>
    <m/>
    <m/>
    <m/>
    <m/>
    <m/>
    <m/>
    <m/>
    <m/>
    <m/>
    <n v="0"/>
  </r>
  <r>
    <x v="2"/>
    <s v="Hatalı Malzeme Sebebiyle Bekleme"/>
    <s v="Montaj"/>
    <m/>
    <m/>
    <m/>
    <m/>
    <m/>
    <m/>
    <m/>
    <m/>
    <m/>
    <m/>
    <m/>
    <m/>
    <n v="0"/>
  </r>
  <r>
    <x v="2"/>
    <s v="Hatalı Malzeme Sebebiyle Bekleme"/>
    <s v="Boyahane"/>
    <m/>
    <m/>
    <m/>
    <m/>
    <m/>
    <m/>
    <m/>
    <m/>
    <m/>
    <m/>
    <m/>
    <m/>
    <n v="0"/>
  </r>
  <r>
    <x v="2"/>
    <s v="Hatalı Malzeme Sebebiyle Bekleme"/>
    <s v="Isıl İşlem"/>
    <m/>
    <m/>
    <m/>
    <m/>
    <m/>
    <m/>
    <m/>
    <m/>
    <m/>
    <m/>
    <m/>
    <m/>
    <n v="0"/>
  </r>
  <r>
    <x v="2"/>
    <s v="Hatalı Malzeme Sebebiyle Bekleme"/>
    <s v="Mangan Fosfat"/>
    <m/>
    <m/>
    <m/>
    <m/>
    <m/>
    <m/>
    <m/>
    <m/>
    <m/>
    <m/>
    <m/>
    <m/>
    <n v="0"/>
  </r>
  <r>
    <x v="2"/>
    <s v="Hatalı Malzeme Sebebiyle Bekleme"/>
    <s v="Lojistik / Üretim Planlama"/>
    <m/>
    <m/>
    <m/>
    <m/>
    <m/>
    <m/>
    <m/>
    <m/>
    <m/>
    <m/>
    <m/>
    <m/>
    <n v="0"/>
  </r>
  <r>
    <x v="2"/>
    <s v="Hatalı Malzeme Sebebiyle Bekleme"/>
    <s v="Kalite"/>
    <m/>
    <m/>
    <m/>
    <m/>
    <m/>
    <m/>
    <m/>
    <m/>
    <m/>
    <m/>
    <m/>
    <m/>
    <n v="0"/>
  </r>
  <r>
    <x v="2"/>
    <s v="Hatalı Malzeme Sebebiyle Bekleme"/>
    <s v="Kalıp - Aparat"/>
    <m/>
    <m/>
    <m/>
    <m/>
    <m/>
    <m/>
    <m/>
    <m/>
    <m/>
    <m/>
    <m/>
    <m/>
    <n v="0"/>
  </r>
  <r>
    <x v="2"/>
    <s v="Hatalı Malzeme Sebebiyle Bekleme"/>
    <s v="Mühendislik"/>
    <m/>
    <m/>
    <m/>
    <m/>
    <m/>
    <m/>
    <m/>
    <m/>
    <m/>
    <m/>
    <m/>
    <m/>
    <n v="0"/>
  </r>
  <r>
    <x v="2"/>
    <s v="Hatalı Malzeme Sebebiyle Bekleme"/>
    <s v="Satış Pazarlama"/>
    <m/>
    <m/>
    <m/>
    <m/>
    <m/>
    <m/>
    <m/>
    <m/>
    <m/>
    <m/>
    <m/>
    <m/>
    <n v="0"/>
  </r>
  <r>
    <x v="2"/>
    <s v="Hatalı Malzeme Sebebiyle Bekleme"/>
    <s v="Diğer (Belirtiniz)"/>
    <m/>
    <m/>
    <m/>
    <m/>
    <m/>
    <m/>
    <m/>
    <m/>
    <m/>
    <m/>
    <m/>
    <m/>
    <n v="0"/>
  </r>
  <r>
    <x v="2"/>
    <s v="Malzeme Gelmediği İçin Bekleme"/>
    <s v="Kesim - Büküm"/>
    <m/>
    <m/>
    <m/>
    <m/>
    <m/>
    <m/>
    <m/>
    <m/>
    <m/>
    <m/>
    <m/>
    <m/>
    <n v="0"/>
  </r>
  <r>
    <x v="2"/>
    <s v="Malzeme Gelmediği İçin Bekleme"/>
    <s v="Talaşlı İmalat"/>
    <m/>
    <m/>
    <m/>
    <m/>
    <m/>
    <m/>
    <m/>
    <m/>
    <m/>
    <m/>
    <m/>
    <m/>
    <n v="0"/>
  </r>
  <r>
    <x v="2"/>
    <s v="Malzeme Gelmediği İçin Bekleme"/>
    <s v="Kaynaklı İmalat"/>
    <m/>
    <m/>
    <n v="800"/>
    <m/>
    <m/>
    <m/>
    <m/>
    <m/>
    <m/>
    <m/>
    <m/>
    <m/>
    <n v="800"/>
  </r>
  <r>
    <x v="2"/>
    <s v="Malzeme Gelmediği İçin Bekleme"/>
    <s v="Tesisathane"/>
    <m/>
    <m/>
    <m/>
    <m/>
    <m/>
    <m/>
    <m/>
    <m/>
    <m/>
    <m/>
    <m/>
    <m/>
    <n v="0"/>
  </r>
  <r>
    <x v="2"/>
    <s v="Malzeme Gelmediği İçin Bekleme"/>
    <s v="Silindirhane"/>
    <m/>
    <m/>
    <m/>
    <m/>
    <m/>
    <m/>
    <m/>
    <m/>
    <m/>
    <m/>
    <m/>
    <m/>
    <n v="0"/>
  </r>
  <r>
    <x v="2"/>
    <s v="Malzeme Gelmediği İçin Bekleme"/>
    <s v="Montaj"/>
    <m/>
    <m/>
    <m/>
    <m/>
    <m/>
    <m/>
    <m/>
    <m/>
    <m/>
    <m/>
    <m/>
    <m/>
    <n v="0"/>
  </r>
  <r>
    <x v="2"/>
    <s v="Malzeme Gelmediği İçin Bekleme"/>
    <s v="Boyahane"/>
    <m/>
    <m/>
    <m/>
    <m/>
    <m/>
    <m/>
    <m/>
    <m/>
    <m/>
    <m/>
    <m/>
    <m/>
    <n v="0"/>
  </r>
  <r>
    <x v="2"/>
    <s v="Malzeme Gelmediği İçin Bekleme"/>
    <s v="Isıl İşlem"/>
    <m/>
    <m/>
    <m/>
    <m/>
    <m/>
    <m/>
    <m/>
    <m/>
    <m/>
    <m/>
    <m/>
    <m/>
    <n v="0"/>
  </r>
  <r>
    <x v="2"/>
    <s v="Malzeme Gelmediği İçin Bekleme"/>
    <s v="Mangan Fosfat"/>
    <m/>
    <m/>
    <m/>
    <m/>
    <m/>
    <m/>
    <m/>
    <m/>
    <m/>
    <m/>
    <m/>
    <m/>
    <n v="0"/>
  </r>
  <r>
    <x v="2"/>
    <s v="Malzeme Gelmediği İçin Bekleme"/>
    <s v="Lojistik / Üretim Planlama"/>
    <m/>
    <m/>
    <m/>
    <m/>
    <m/>
    <m/>
    <m/>
    <n v="2420"/>
    <m/>
    <m/>
    <m/>
    <m/>
    <n v="2420"/>
  </r>
  <r>
    <x v="2"/>
    <s v="Malzeme Gelmediği İçin Bekleme"/>
    <s v="Kalite"/>
    <m/>
    <m/>
    <m/>
    <m/>
    <m/>
    <m/>
    <m/>
    <m/>
    <m/>
    <m/>
    <m/>
    <m/>
    <n v="0"/>
  </r>
  <r>
    <x v="2"/>
    <s v="Malzeme Gelmediği İçin Bekleme"/>
    <s v="Kalıp - Aparat"/>
    <m/>
    <m/>
    <m/>
    <m/>
    <m/>
    <m/>
    <m/>
    <m/>
    <m/>
    <m/>
    <m/>
    <m/>
    <n v="0"/>
  </r>
  <r>
    <x v="2"/>
    <s v="Malzeme Gelmediği İçin Bekleme"/>
    <s v="Mühendislik"/>
    <m/>
    <m/>
    <m/>
    <m/>
    <m/>
    <m/>
    <m/>
    <m/>
    <m/>
    <m/>
    <m/>
    <m/>
    <n v="0"/>
  </r>
  <r>
    <x v="2"/>
    <s v="Malzeme Gelmediği İçin Bekleme"/>
    <s v="Satış Pazarlama"/>
    <m/>
    <m/>
    <m/>
    <m/>
    <m/>
    <m/>
    <m/>
    <m/>
    <m/>
    <m/>
    <m/>
    <m/>
    <n v="0"/>
  </r>
  <r>
    <x v="2"/>
    <s v="Malzeme Gelmediği İçin Bekleme"/>
    <s v="Diğer (Belirtiniz)"/>
    <m/>
    <m/>
    <m/>
    <m/>
    <m/>
    <m/>
    <m/>
    <m/>
    <m/>
    <m/>
    <m/>
    <m/>
    <n v="0"/>
  </r>
  <r>
    <x v="2"/>
    <s v="Ayar Kaybı"/>
    <m/>
    <n v="1430"/>
    <n v="300"/>
    <n v="1100"/>
    <m/>
    <m/>
    <m/>
    <n v="3945"/>
    <n v="2120"/>
    <m/>
    <m/>
    <m/>
    <m/>
    <n v="8895"/>
  </r>
  <r>
    <x v="2"/>
    <s v="Tesis / Tezgah Arızası / Elektrik Kesintisi"/>
    <m/>
    <m/>
    <m/>
    <n v="350"/>
    <m/>
    <m/>
    <m/>
    <m/>
    <m/>
    <m/>
    <m/>
    <m/>
    <m/>
    <n v="350"/>
  </r>
  <r>
    <x v="2"/>
    <s v="Kalıp / Takım / Ekipman Arızası"/>
    <m/>
    <m/>
    <m/>
    <m/>
    <m/>
    <m/>
    <m/>
    <m/>
    <m/>
    <m/>
    <m/>
    <m/>
    <m/>
    <n v="0"/>
  </r>
  <r>
    <x v="2"/>
    <s v="Tezgah / Tesis Temizlik Bakım"/>
    <m/>
    <n v="3170"/>
    <n v="500"/>
    <n v="2000"/>
    <m/>
    <m/>
    <m/>
    <n v="4410"/>
    <n v="4100"/>
    <n v="130"/>
    <m/>
    <m/>
    <m/>
    <n v="14310"/>
  </r>
  <r>
    <x v="2"/>
    <s v="Muayene Sonucu Bekleme"/>
    <m/>
    <n v="2740"/>
    <n v="750"/>
    <n v="1500"/>
    <m/>
    <m/>
    <m/>
    <n v="3250"/>
    <n v="2340"/>
    <m/>
    <m/>
    <m/>
    <m/>
    <n v="10580"/>
  </r>
  <r>
    <x v="2"/>
    <s v="Standart Dışı Takım/Kalıp ile Çalışma"/>
    <m/>
    <m/>
    <n v="900"/>
    <m/>
    <m/>
    <m/>
    <m/>
    <n v="5230"/>
    <m/>
    <m/>
    <m/>
    <m/>
    <m/>
    <n v="6130"/>
  </r>
  <r>
    <x v="2"/>
    <s v="Tezgah Rejime Sokma Zamanı"/>
    <m/>
    <m/>
    <n v="300"/>
    <n v="150"/>
    <m/>
    <m/>
    <m/>
    <n v="1310"/>
    <m/>
    <m/>
    <m/>
    <m/>
    <m/>
    <n v="1760"/>
  </r>
  <r>
    <x v="2"/>
    <s v="Takım Hazırlama Zamanı"/>
    <m/>
    <m/>
    <m/>
    <m/>
    <m/>
    <m/>
    <m/>
    <m/>
    <m/>
    <m/>
    <m/>
    <m/>
    <m/>
    <n v="0"/>
  </r>
  <r>
    <x v="2"/>
    <s v="Tecrübe / Ön Seri Çalışması"/>
    <m/>
    <n v="2050"/>
    <m/>
    <n v="7500"/>
    <m/>
    <m/>
    <m/>
    <n v="2440"/>
    <m/>
    <m/>
    <m/>
    <m/>
    <m/>
    <n v="11990"/>
  </r>
  <r>
    <x v="2"/>
    <s v="Önceki İstasyonu Bekleme (Montaj)"/>
    <m/>
    <m/>
    <m/>
    <m/>
    <m/>
    <m/>
    <m/>
    <m/>
    <m/>
    <m/>
    <m/>
    <m/>
    <m/>
    <n v="0"/>
  </r>
  <r>
    <x v="2"/>
    <s v="Eksik Parça Tamamlama"/>
    <m/>
    <m/>
    <m/>
    <m/>
    <m/>
    <m/>
    <m/>
    <m/>
    <m/>
    <m/>
    <m/>
    <m/>
    <m/>
    <n v="0"/>
  </r>
  <r>
    <x v="2"/>
    <s v="Vinç Bekleme"/>
    <m/>
    <n v="440"/>
    <n v="100"/>
    <n v="90"/>
    <m/>
    <m/>
    <m/>
    <n v="775"/>
    <n v="1270"/>
    <n v="110"/>
    <m/>
    <m/>
    <m/>
    <n v="2785"/>
  </r>
  <r>
    <x v="2"/>
    <s v="Forklift Bekleme"/>
    <m/>
    <n v="260"/>
    <m/>
    <m/>
    <m/>
    <m/>
    <m/>
    <m/>
    <m/>
    <m/>
    <m/>
    <m/>
    <m/>
    <n v="260"/>
  </r>
  <r>
    <x v="2"/>
    <s v="Kaizen Çalışmaları"/>
    <m/>
    <m/>
    <m/>
    <m/>
    <m/>
    <m/>
    <m/>
    <m/>
    <m/>
    <m/>
    <m/>
    <m/>
    <m/>
    <n v="0"/>
  </r>
  <r>
    <x v="2"/>
    <s v="5S Çalışmaları"/>
    <m/>
    <m/>
    <m/>
    <m/>
    <m/>
    <m/>
    <m/>
    <m/>
    <m/>
    <m/>
    <m/>
    <m/>
    <m/>
    <n v="0"/>
  </r>
  <r>
    <x v="2"/>
    <s v="Toplantı / Görüşme"/>
    <m/>
    <m/>
    <m/>
    <m/>
    <m/>
    <m/>
    <m/>
    <m/>
    <m/>
    <m/>
    <m/>
    <m/>
    <m/>
    <n v="0"/>
  </r>
  <r>
    <x v="2"/>
    <s v="Eğitim"/>
    <m/>
    <n v="108"/>
    <m/>
    <m/>
    <m/>
    <m/>
    <m/>
    <m/>
    <m/>
    <m/>
    <m/>
    <m/>
    <m/>
    <n v="108"/>
  </r>
  <r>
    <x v="2"/>
    <s v="Görevli"/>
    <m/>
    <m/>
    <m/>
    <m/>
    <m/>
    <m/>
    <m/>
    <m/>
    <m/>
    <m/>
    <m/>
    <m/>
    <m/>
    <n v="0"/>
  </r>
  <r>
    <x v="2"/>
    <s v="İş Verilemedi"/>
    <m/>
    <m/>
    <m/>
    <m/>
    <m/>
    <m/>
    <m/>
    <m/>
    <m/>
    <m/>
    <m/>
    <m/>
    <m/>
    <n v="0"/>
  </r>
  <r>
    <x v="2"/>
    <s v="Revir "/>
    <m/>
    <m/>
    <m/>
    <m/>
    <m/>
    <m/>
    <m/>
    <m/>
    <m/>
    <m/>
    <m/>
    <m/>
    <m/>
    <n v="0"/>
  </r>
  <r>
    <x v="3"/>
    <s v="Hatalı Malzeme Sebebiyle Bekleme"/>
    <s v="Kesim - Büküm"/>
    <m/>
    <m/>
    <m/>
    <m/>
    <m/>
    <m/>
    <m/>
    <m/>
    <m/>
    <m/>
    <m/>
    <m/>
    <n v="0"/>
  </r>
  <r>
    <x v="3"/>
    <s v="Hatalı Malzeme Sebebiyle Bekleme"/>
    <s v="Talaşlı İmalat"/>
    <m/>
    <m/>
    <m/>
    <n v="240"/>
    <m/>
    <m/>
    <m/>
    <n v="9730"/>
    <m/>
    <m/>
    <m/>
    <m/>
    <n v="9970"/>
  </r>
  <r>
    <x v="3"/>
    <s v="Hatalı Malzeme Sebebiyle Bekleme"/>
    <s v="Kaynaklı İmalat"/>
    <m/>
    <m/>
    <n v="110"/>
    <m/>
    <m/>
    <m/>
    <m/>
    <m/>
    <m/>
    <m/>
    <m/>
    <m/>
    <n v="110"/>
  </r>
  <r>
    <x v="3"/>
    <s v="Hatalı Malzeme Sebebiyle Bekleme"/>
    <s v="Tesisathane"/>
    <m/>
    <m/>
    <m/>
    <m/>
    <m/>
    <m/>
    <m/>
    <m/>
    <m/>
    <m/>
    <m/>
    <m/>
    <n v="0"/>
  </r>
  <r>
    <x v="3"/>
    <s v="Hatalı Malzeme Sebebiyle Bekleme"/>
    <s v="Silindirhane"/>
    <m/>
    <m/>
    <m/>
    <m/>
    <m/>
    <m/>
    <m/>
    <m/>
    <m/>
    <m/>
    <m/>
    <m/>
    <n v="0"/>
  </r>
  <r>
    <x v="3"/>
    <s v="Hatalı Malzeme Sebebiyle Bekleme"/>
    <s v="Montaj"/>
    <m/>
    <m/>
    <m/>
    <m/>
    <m/>
    <m/>
    <m/>
    <m/>
    <m/>
    <m/>
    <m/>
    <m/>
    <n v="0"/>
  </r>
  <r>
    <x v="3"/>
    <s v="Hatalı Malzeme Sebebiyle Bekleme"/>
    <s v="Boyahane"/>
    <m/>
    <m/>
    <m/>
    <m/>
    <m/>
    <m/>
    <m/>
    <m/>
    <m/>
    <m/>
    <m/>
    <m/>
    <n v="0"/>
  </r>
  <r>
    <x v="3"/>
    <s v="Hatalı Malzeme Sebebiyle Bekleme"/>
    <s v="Isıl İşlem"/>
    <m/>
    <m/>
    <m/>
    <m/>
    <m/>
    <m/>
    <m/>
    <m/>
    <m/>
    <m/>
    <m/>
    <m/>
    <n v="0"/>
  </r>
  <r>
    <x v="3"/>
    <s v="Hatalı Malzeme Sebebiyle Bekleme"/>
    <s v="Mangan Fosfat"/>
    <m/>
    <m/>
    <m/>
    <m/>
    <m/>
    <m/>
    <m/>
    <m/>
    <m/>
    <m/>
    <m/>
    <m/>
    <n v="0"/>
  </r>
  <r>
    <x v="3"/>
    <s v="Hatalı Malzeme Sebebiyle Bekleme"/>
    <s v="Lojistik / Üretim Planlama"/>
    <n v="260"/>
    <m/>
    <m/>
    <m/>
    <m/>
    <m/>
    <m/>
    <m/>
    <m/>
    <m/>
    <m/>
    <m/>
    <n v="260"/>
  </r>
  <r>
    <x v="3"/>
    <s v="Hatalı Malzeme Sebebiyle Bekleme"/>
    <s v="Kalite"/>
    <m/>
    <m/>
    <m/>
    <m/>
    <m/>
    <m/>
    <m/>
    <m/>
    <m/>
    <m/>
    <m/>
    <m/>
    <n v="0"/>
  </r>
  <r>
    <x v="3"/>
    <s v="Hatalı Malzeme Sebebiyle Bekleme"/>
    <s v="Kalıp - Aparat"/>
    <m/>
    <m/>
    <m/>
    <m/>
    <m/>
    <m/>
    <m/>
    <m/>
    <m/>
    <m/>
    <m/>
    <m/>
    <n v="0"/>
  </r>
  <r>
    <x v="3"/>
    <s v="Hatalı Malzeme Sebebiyle Bekleme"/>
    <s v="Mühendislik"/>
    <m/>
    <m/>
    <m/>
    <m/>
    <m/>
    <m/>
    <m/>
    <m/>
    <m/>
    <m/>
    <m/>
    <m/>
    <n v="0"/>
  </r>
  <r>
    <x v="3"/>
    <s v="Hatalı Malzeme Sebebiyle Bekleme"/>
    <s v="Satış Pazarlama"/>
    <m/>
    <m/>
    <m/>
    <m/>
    <m/>
    <m/>
    <m/>
    <m/>
    <m/>
    <m/>
    <m/>
    <m/>
    <n v="0"/>
  </r>
  <r>
    <x v="3"/>
    <s v="Hatalı Malzeme Sebebiyle Bekleme"/>
    <s v="Diğer (Belirtiniz)"/>
    <m/>
    <m/>
    <m/>
    <m/>
    <m/>
    <m/>
    <m/>
    <m/>
    <m/>
    <m/>
    <m/>
    <m/>
    <n v="0"/>
  </r>
  <r>
    <x v="3"/>
    <s v="Malzeme Gelmediği İçin Bekleme"/>
    <s v="Kesim - Büküm"/>
    <m/>
    <m/>
    <m/>
    <m/>
    <m/>
    <m/>
    <m/>
    <m/>
    <m/>
    <m/>
    <m/>
    <m/>
    <n v="0"/>
  </r>
  <r>
    <x v="3"/>
    <s v="Malzeme Gelmediği İçin Bekleme"/>
    <s v="Talaşlı İmalat"/>
    <m/>
    <m/>
    <m/>
    <n v="340"/>
    <m/>
    <m/>
    <n v="610"/>
    <m/>
    <m/>
    <m/>
    <m/>
    <m/>
    <n v="950"/>
  </r>
  <r>
    <x v="3"/>
    <s v="Malzeme Gelmediği İçin Bekleme"/>
    <s v="Kaynaklı İmalat"/>
    <m/>
    <m/>
    <n v="700"/>
    <m/>
    <m/>
    <m/>
    <m/>
    <m/>
    <m/>
    <m/>
    <m/>
    <m/>
    <n v="700"/>
  </r>
  <r>
    <x v="3"/>
    <s v="Malzeme Gelmediği İçin Bekleme"/>
    <s v="Tesisathane"/>
    <m/>
    <m/>
    <m/>
    <m/>
    <m/>
    <m/>
    <m/>
    <m/>
    <m/>
    <m/>
    <m/>
    <m/>
    <n v="0"/>
  </r>
  <r>
    <x v="3"/>
    <s v="Malzeme Gelmediği İçin Bekleme"/>
    <s v="Silindirhane"/>
    <m/>
    <m/>
    <m/>
    <m/>
    <m/>
    <m/>
    <m/>
    <m/>
    <m/>
    <m/>
    <m/>
    <m/>
    <n v="0"/>
  </r>
  <r>
    <x v="3"/>
    <s v="Malzeme Gelmediği İçin Bekleme"/>
    <s v="Montaj"/>
    <m/>
    <m/>
    <m/>
    <m/>
    <m/>
    <m/>
    <m/>
    <m/>
    <m/>
    <m/>
    <m/>
    <m/>
    <n v="0"/>
  </r>
  <r>
    <x v="3"/>
    <s v="Malzeme Gelmediği İçin Bekleme"/>
    <s v="Boyahane"/>
    <m/>
    <m/>
    <m/>
    <m/>
    <m/>
    <m/>
    <m/>
    <m/>
    <m/>
    <m/>
    <m/>
    <m/>
    <n v="0"/>
  </r>
  <r>
    <x v="3"/>
    <s v="Malzeme Gelmediği İçin Bekleme"/>
    <s v="Isıl İşlem"/>
    <m/>
    <m/>
    <m/>
    <m/>
    <m/>
    <m/>
    <m/>
    <m/>
    <m/>
    <m/>
    <m/>
    <m/>
    <n v="0"/>
  </r>
  <r>
    <x v="3"/>
    <s v="Malzeme Gelmediği İçin Bekleme"/>
    <s v="Mangan Fosfat"/>
    <m/>
    <m/>
    <m/>
    <m/>
    <m/>
    <m/>
    <m/>
    <m/>
    <m/>
    <m/>
    <m/>
    <m/>
    <n v="0"/>
  </r>
  <r>
    <x v="3"/>
    <s v="Malzeme Gelmediği İçin Bekleme"/>
    <s v="Lojistik / Üretim Planlama"/>
    <m/>
    <m/>
    <m/>
    <n v="720"/>
    <m/>
    <m/>
    <m/>
    <n v="2085"/>
    <m/>
    <m/>
    <m/>
    <m/>
    <n v="2805"/>
  </r>
  <r>
    <x v="3"/>
    <s v="Malzeme Gelmediği İçin Bekleme"/>
    <s v="Kalite"/>
    <m/>
    <m/>
    <m/>
    <m/>
    <m/>
    <m/>
    <m/>
    <m/>
    <m/>
    <m/>
    <m/>
    <m/>
    <n v="0"/>
  </r>
  <r>
    <x v="3"/>
    <s v="Malzeme Gelmediği İçin Bekleme"/>
    <s v="Kalıp - Aparat"/>
    <m/>
    <m/>
    <m/>
    <m/>
    <m/>
    <m/>
    <m/>
    <m/>
    <m/>
    <m/>
    <m/>
    <m/>
    <n v="0"/>
  </r>
  <r>
    <x v="3"/>
    <s v="Malzeme Gelmediği İçin Bekleme"/>
    <s v="Mühendislik"/>
    <m/>
    <m/>
    <m/>
    <m/>
    <m/>
    <m/>
    <m/>
    <m/>
    <m/>
    <m/>
    <m/>
    <m/>
    <n v="0"/>
  </r>
  <r>
    <x v="3"/>
    <s v="Malzeme Gelmediği İçin Bekleme"/>
    <s v="Satış Pazarlama"/>
    <m/>
    <m/>
    <m/>
    <m/>
    <m/>
    <m/>
    <m/>
    <m/>
    <m/>
    <m/>
    <m/>
    <m/>
    <n v="0"/>
  </r>
  <r>
    <x v="3"/>
    <s v="Malzeme Gelmediği İçin Bekleme"/>
    <s v="Diğer (Belirtiniz)"/>
    <m/>
    <m/>
    <m/>
    <m/>
    <m/>
    <m/>
    <m/>
    <m/>
    <m/>
    <m/>
    <m/>
    <m/>
    <n v="0"/>
  </r>
  <r>
    <x v="3"/>
    <s v="Ayar Kaybı"/>
    <m/>
    <n v="890"/>
    <n v="340"/>
    <n v="900"/>
    <n v="1830"/>
    <n v="270"/>
    <m/>
    <n v="1420"/>
    <n v="1320"/>
    <m/>
    <m/>
    <m/>
    <m/>
    <n v="6970"/>
  </r>
  <r>
    <x v="3"/>
    <s v="Tesis / Tezgah Arızası / Elektrik Kesintisi"/>
    <m/>
    <m/>
    <m/>
    <n v="420"/>
    <m/>
    <m/>
    <m/>
    <m/>
    <m/>
    <m/>
    <m/>
    <m/>
    <m/>
    <n v="420"/>
  </r>
  <r>
    <x v="3"/>
    <s v="Kalıp / Takım / Ekipman Arızası"/>
    <m/>
    <m/>
    <m/>
    <m/>
    <m/>
    <m/>
    <m/>
    <m/>
    <m/>
    <m/>
    <m/>
    <m/>
    <m/>
    <n v="0"/>
  </r>
  <r>
    <x v="3"/>
    <s v="Tezgah / Tesis Temizlik Bakım"/>
    <m/>
    <n v="1220"/>
    <n v="400"/>
    <n v="2435"/>
    <n v="2940"/>
    <n v="1890"/>
    <m/>
    <n v="3210"/>
    <n v="2770"/>
    <m/>
    <m/>
    <m/>
    <m/>
    <n v="14865"/>
  </r>
  <r>
    <x v="3"/>
    <s v="Muayene Sonucu Bekleme"/>
    <m/>
    <n v="780"/>
    <n v="500"/>
    <n v="3190"/>
    <n v="3350"/>
    <n v="2170"/>
    <m/>
    <n v="1820"/>
    <n v="3650"/>
    <m/>
    <m/>
    <m/>
    <m/>
    <n v="15460"/>
  </r>
  <r>
    <x v="3"/>
    <s v="Standart Dışı Takım/Kalıp ile Çalışma"/>
    <m/>
    <m/>
    <n v="1100"/>
    <m/>
    <m/>
    <n v="3190"/>
    <m/>
    <m/>
    <m/>
    <m/>
    <m/>
    <m/>
    <m/>
    <n v="4290"/>
  </r>
  <r>
    <x v="3"/>
    <s v="Tezgah Rejime Sokma Zamanı"/>
    <m/>
    <m/>
    <n v="350"/>
    <n v="170"/>
    <m/>
    <m/>
    <m/>
    <n v="6300"/>
    <m/>
    <m/>
    <m/>
    <m/>
    <m/>
    <n v="6820"/>
  </r>
  <r>
    <x v="3"/>
    <s v="Takım Hazırlama Zamanı"/>
    <m/>
    <m/>
    <m/>
    <m/>
    <m/>
    <n v="240"/>
    <m/>
    <m/>
    <m/>
    <m/>
    <m/>
    <m/>
    <m/>
    <n v="240"/>
  </r>
  <r>
    <x v="3"/>
    <s v="Tecrübe / Ön Seri Çalışması"/>
    <m/>
    <m/>
    <m/>
    <n v="6350"/>
    <n v="7370"/>
    <m/>
    <m/>
    <m/>
    <m/>
    <m/>
    <m/>
    <m/>
    <m/>
    <n v="13720"/>
  </r>
  <r>
    <x v="3"/>
    <s v="Önceki İstasyonu Bekleme (Montaj)"/>
    <m/>
    <m/>
    <m/>
    <m/>
    <m/>
    <m/>
    <m/>
    <m/>
    <m/>
    <m/>
    <m/>
    <m/>
    <m/>
    <n v="0"/>
  </r>
  <r>
    <x v="3"/>
    <s v="Eksik Parça Tamamlama"/>
    <m/>
    <m/>
    <m/>
    <m/>
    <m/>
    <m/>
    <m/>
    <m/>
    <n v="2440"/>
    <m/>
    <m/>
    <m/>
    <m/>
    <n v="2440"/>
  </r>
  <r>
    <x v="3"/>
    <s v="Vinç Bekleme"/>
    <m/>
    <n v="260"/>
    <n v="90"/>
    <n v="120"/>
    <n v="740"/>
    <m/>
    <m/>
    <m/>
    <n v="210"/>
    <m/>
    <m/>
    <m/>
    <m/>
    <n v="1420"/>
  </r>
  <r>
    <x v="3"/>
    <s v="Forklift Bekleme"/>
    <m/>
    <m/>
    <m/>
    <m/>
    <m/>
    <m/>
    <m/>
    <m/>
    <m/>
    <m/>
    <m/>
    <m/>
    <m/>
    <n v="0"/>
  </r>
  <r>
    <x v="3"/>
    <s v="Kaizen Çalışmaları"/>
    <m/>
    <m/>
    <m/>
    <m/>
    <m/>
    <n v="11055"/>
    <m/>
    <m/>
    <m/>
    <m/>
    <m/>
    <m/>
    <m/>
    <n v="11055"/>
  </r>
  <r>
    <x v="3"/>
    <s v="5S Çalışmaları"/>
    <m/>
    <m/>
    <m/>
    <m/>
    <m/>
    <m/>
    <m/>
    <m/>
    <m/>
    <m/>
    <m/>
    <m/>
    <m/>
    <n v="0"/>
  </r>
  <r>
    <x v="3"/>
    <s v="Toplantı / Görüşme"/>
    <m/>
    <m/>
    <m/>
    <m/>
    <m/>
    <m/>
    <m/>
    <m/>
    <m/>
    <m/>
    <m/>
    <m/>
    <m/>
    <n v="0"/>
  </r>
  <r>
    <x v="3"/>
    <s v="Eğitim"/>
    <m/>
    <n v="125"/>
    <m/>
    <m/>
    <n v="17280"/>
    <m/>
    <m/>
    <m/>
    <n v="1643"/>
    <m/>
    <m/>
    <m/>
    <m/>
    <n v="19048"/>
  </r>
  <r>
    <x v="3"/>
    <s v="Görevli"/>
    <m/>
    <m/>
    <m/>
    <m/>
    <m/>
    <n v="640"/>
    <m/>
    <m/>
    <m/>
    <m/>
    <m/>
    <m/>
    <m/>
    <n v="640"/>
  </r>
  <r>
    <x v="3"/>
    <s v="İş Verilemedi"/>
    <m/>
    <m/>
    <m/>
    <m/>
    <m/>
    <m/>
    <m/>
    <m/>
    <m/>
    <m/>
    <m/>
    <m/>
    <m/>
    <n v="0"/>
  </r>
  <r>
    <x v="3"/>
    <s v="Revir "/>
    <m/>
    <m/>
    <m/>
    <m/>
    <m/>
    <m/>
    <m/>
    <m/>
    <m/>
    <m/>
    <m/>
    <m/>
    <m/>
    <n v="0"/>
  </r>
  <r>
    <x v="4"/>
    <s v="Hatalı Malzeme Sebebiyle Bekleme"/>
    <s v="Kesim - Büküm"/>
    <m/>
    <m/>
    <m/>
    <m/>
    <m/>
    <m/>
    <m/>
    <m/>
    <m/>
    <m/>
    <m/>
    <m/>
    <n v="0"/>
  </r>
  <r>
    <x v="4"/>
    <s v="Hatalı Malzeme Sebebiyle Bekleme"/>
    <s v="Talaşlı İmalat"/>
    <m/>
    <m/>
    <m/>
    <m/>
    <m/>
    <m/>
    <m/>
    <m/>
    <m/>
    <m/>
    <m/>
    <m/>
    <n v="0"/>
  </r>
  <r>
    <x v="4"/>
    <s v="Hatalı Malzeme Sebebiyle Bekleme"/>
    <s v="Kaynaklı İmalat"/>
    <m/>
    <m/>
    <m/>
    <m/>
    <m/>
    <m/>
    <m/>
    <m/>
    <m/>
    <m/>
    <m/>
    <m/>
    <n v="0"/>
  </r>
  <r>
    <x v="4"/>
    <s v="Hatalı Malzeme Sebebiyle Bekleme"/>
    <s v="Tesisathane"/>
    <m/>
    <m/>
    <m/>
    <m/>
    <m/>
    <m/>
    <m/>
    <m/>
    <m/>
    <m/>
    <m/>
    <m/>
    <n v="0"/>
  </r>
  <r>
    <x v="4"/>
    <s v="Hatalı Malzeme Sebebiyle Bekleme"/>
    <s v="Silindirhane"/>
    <m/>
    <m/>
    <m/>
    <m/>
    <m/>
    <m/>
    <m/>
    <m/>
    <m/>
    <m/>
    <m/>
    <m/>
    <n v="0"/>
  </r>
  <r>
    <x v="4"/>
    <s v="Hatalı Malzeme Sebebiyle Bekleme"/>
    <s v="Montaj"/>
    <m/>
    <m/>
    <m/>
    <m/>
    <m/>
    <m/>
    <m/>
    <m/>
    <m/>
    <m/>
    <m/>
    <m/>
    <n v="0"/>
  </r>
  <r>
    <x v="4"/>
    <s v="Hatalı Malzeme Sebebiyle Bekleme"/>
    <s v="Boyahane"/>
    <m/>
    <m/>
    <m/>
    <m/>
    <m/>
    <m/>
    <m/>
    <m/>
    <m/>
    <m/>
    <m/>
    <m/>
    <n v="0"/>
  </r>
  <r>
    <x v="4"/>
    <s v="Hatalı Malzeme Sebebiyle Bekleme"/>
    <s v="Isıl İşlem"/>
    <m/>
    <m/>
    <m/>
    <m/>
    <m/>
    <m/>
    <m/>
    <m/>
    <m/>
    <m/>
    <m/>
    <m/>
    <n v="0"/>
  </r>
  <r>
    <x v="4"/>
    <s v="Hatalı Malzeme Sebebiyle Bekleme"/>
    <s v="Mangan Fosfat"/>
    <m/>
    <m/>
    <m/>
    <m/>
    <m/>
    <m/>
    <m/>
    <m/>
    <m/>
    <m/>
    <m/>
    <m/>
    <n v="0"/>
  </r>
  <r>
    <x v="4"/>
    <s v="Hatalı Malzeme Sebebiyle Bekleme"/>
    <s v="Lojistik / Üretim Planlama"/>
    <m/>
    <m/>
    <m/>
    <m/>
    <m/>
    <m/>
    <m/>
    <m/>
    <m/>
    <m/>
    <m/>
    <m/>
    <n v="0"/>
  </r>
  <r>
    <x v="4"/>
    <s v="Hatalı Malzeme Sebebiyle Bekleme"/>
    <s v="Kalite"/>
    <m/>
    <m/>
    <m/>
    <m/>
    <m/>
    <m/>
    <m/>
    <m/>
    <m/>
    <m/>
    <m/>
    <m/>
    <n v="0"/>
  </r>
  <r>
    <x v="4"/>
    <s v="Hatalı Malzeme Sebebiyle Bekleme"/>
    <s v="Kalıp - Aparat"/>
    <m/>
    <m/>
    <m/>
    <m/>
    <m/>
    <m/>
    <m/>
    <m/>
    <m/>
    <m/>
    <m/>
    <m/>
    <n v="0"/>
  </r>
  <r>
    <x v="4"/>
    <s v="Hatalı Malzeme Sebebiyle Bekleme"/>
    <s v="Mühendislik"/>
    <m/>
    <m/>
    <m/>
    <m/>
    <m/>
    <m/>
    <m/>
    <m/>
    <m/>
    <m/>
    <m/>
    <m/>
    <n v="0"/>
  </r>
  <r>
    <x v="4"/>
    <s v="Hatalı Malzeme Sebebiyle Bekleme"/>
    <s v="Satış Pazarlama"/>
    <m/>
    <m/>
    <m/>
    <m/>
    <m/>
    <m/>
    <m/>
    <m/>
    <m/>
    <m/>
    <m/>
    <m/>
    <n v="0"/>
  </r>
  <r>
    <x v="4"/>
    <s v="Hatalı Malzeme Sebebiyle Bekleme"/>
    <s v="Diğer (Belirtiniz)"/>
    <m/>
    <m/>
    <m/>
    <m/>
    <m/>
    <m/>
    <m/>
    <m/>
    <m/>
    <m/>
    <m/>
    <m/>
    <n v="0"/>
  </r>
  <r>
    <x v="4"/>
    <s v="Malzeme Gelmediği İçin Bekleme"/>
    <s v="Kesim - Büküm"/>
    <m/>
    <m/>
    <m/>
    <m/>
    <m/>
    <m/>
    <m/>
    <m/>
    <m/>
    <m/>
    <m/>
    <m/>
    <n v="0"/>
  </r>
  <r>
    <x v="4"/>
    <s v="Malzeme Gelmediği İçin Bekleme"/>
    <s v="Talaşlı İmalat"/>
    <m/>
    <m/>
    <m/>
    <m/>
    <m/>
    <m/>
    <m/>
    <m/>
    <m/>
    <m/>
    <m/>
    <m/>
    <n v="0"/>
  </r>
  <r>
    <x v="4"/>
    <s v="Malzeme Gelmediği İçin Bekleme"/>
    <s v="Kaynaklı İmalat"/>
    <m/>
    <m/>
    <m/>
    <m/>
    <m/>
    <m/>
    <m/>
    <m/>
    <m/>
    <m/>
    <m/>
    <m/>
    <n v="0"/>
  </r>
  <r>
    <x v="4"/>
    <s v="Malzeme Gelmediği İçin Bekleme"/>
    <s v="Tesisathane"/>
    <m/>
    <m/>
    <m/>
    <m/>
    <m/>
    <m/>
    <m/>
    <m/>
    <m/>
    <m/>
    <m/>
    <m/>
    <n v="0"/>
  </r>
  <r>
    <x v="4"/>
    <s v="Malzeme Gelmediği İçin Bekleme"/>
    <s v="Silindirhane"/>
    <m/>
    <m/>
    <m/>
    <m/>
    <m/>
    <m/>
    <m/>
    <m/>
    <m/>
    <m/>
    <m/>
    <m/>
    <n v="0"/>
  </r>
  <r>
    <x v="4"/>
    <s v="Malzeme Gelmediği İçin Bekleme"/>
    <s v="Montaj"/>
    <m/>
    <m/>
    <m/>
    <m/>
    <m/>
    <m/>
    <m/>
    <m/>
    <m/>
    <m/>
    <m/>
    <m/>
    <n v="0"/>
  </r>
  <r>
    <x v="4"/>
    <s v="Malzeme Gelmediği İçin Bekleme"/>
    <s v="Boyahane"/>
    <m/>
    <m/>
    <m/>
    <m/>
    <m/>
    <m/>
    <m/>
    <m/>
    <m/>
    <m/>
    <m/>
    <m/>
    <n v="0"/>
  </r>
  <r>
    <x v="4"/>
    <s v="Malzeme Gelmediği İçin Bekleme"/>
    <s v="Isıl İşlem"/>
    <m/>
    <m/>
    <m/>
    <m/>
    <m/>
    <m/>
    <m/>
    <m/>
    <m/>
    <m/>
    <m/>
    <m/>
    <n v="0"/>
  </r>
  <r>
    <x v="4"/>
    <s v="Malzeme Gelmediği İçin Bekleme"/>
    <s v="Mangan Fosfat"/>
    <m/>
    <m/>
    <m/>
    <m/>
    <m/>
    <m/>
    <m/>
    <m/>
    <m/>
    <m/>
    <m/>
    <m/>
    <n v="0"/>
  </r>
  <r>
    <x v="4"/>
    <s v="Malzeme Gelmediği İçin Bekleme"/>
    <s v="Lojistik / Üretim Planlama"/>
    <m/>
    <m/>
    <m/>
    <m/>
    <m/>
    <m/>
    <m/>
    <m/>
    <m/>
    <m/>
    <m/>
    <m/>
    <n v="0"/>
  </r>
  <r>
    <x v="4"/>
    <s v="Malzeme Gelmediği İçin Bekleme"/>
    <s v="Kalite"/>
    <m/>
    <m/>
    <m/>
    <m/>
    <m/>
    <m/>
    <m/>
    <m/>
    <m/>
    <m/>
    <m/>
    <m/>
    <n v="0"/>
  </r>
  <r>
    <x v="4"/>
    <s v="Malzeme Gelmediği İçin Bekleme"/>
    <s v="Kalıp - Aparat"/>
    <m/>
    <m/>
    <m/>
    <m/>
    <m/>
    <m/>
    <m/>
    <m/>
    <m/>
    <m/>
    <m/>
    <m/>
    <n v="0"/>
  </r>
  <r>
    <x v="4"/>
    <s v="Malzeme Gelmediği İçin Bekleme"/>
    <s v="Mühendislik"/>
    <m/>
    <m/>
    <m/>
    <m/>
    <m/>
    <m/>
    <m/>
    <m/>
    <m/>
    <m/>
    <m/>
    <m/>
    <n v="0"/>
  </r>
  <r>
    <x v="4"/>
    <s v="Malzeme Gelmediği İçin Bekleme"/>
    <s v="Satış Pazarlama"/>
    <m/>
    <m/>
    <m/>
    <m/>
    <m/>
    <m/>
    <m/>
    <m/>
    <m/>
    <m/>
    <m/>
    <m/>
    <n v="0"/>
  </r>
  <r>
    <x v="4"/>
    <s v="Malzeme Gelmediği İçin Bekleme"/>
    <s v="Diğer (Belirtiniz)"/>
    <m/>
    <m/>
    <m/>
    <m/>
    <m/>
    <m/>
    <m/>
    <m/>
    <m/>
    <m/>
    <m/>
    <m/>
    <n v="0"/>
  </r>
  <r>
    <x v="4"/>
    <s v="Ayar Kaybı"/>
    <m/>
    <m/>
    <m/>
    <m/>
    <m/>
    <m/>
    <m/>
    <m/>
    <m/>
    <m/>
    <m/>
    <m/>
    <m/>
    <n v="0"/>
  </r>
  <r>
    <x v="4"/>
    <s v="Tesis / Tezgah Arızası / Elektrik Kesintisi"/>
    <m/>
    <m/>
    <m/>
    <m/>
    <m/>
    <m/>
    <m/>
    <m/>
    <m/>
    <m/>
    <m/>
    <m/>
    <m/>
    <n v="0"/>
  </r>
  <r>
    <x v="4"/>
    <s v="Kalıp / Takım / Ekipman Arızası"/>
    <m/>
    <m/>
    <m/>
    <m/>
    <m/>
    <m/>
    <m/>
    <m/>
    <m/>
    <m/>
    <m/>
    <m/>
    <m/>
    <n v="0"/>
  </r>
  <r>
    <x v="4"/>
    <s v="Tezgah / Tesis Temizlik Bakım"/>
    <m/>
    <m/>
    <m/>
    <m/>
    <m/>
    <m/>
    <m/>
    <m/>
    <m/>
    <m/>
    <m/>
    <m/>
    <m/>
    <n v="0"/>
  </r>
  <r>
    <x v="4"/>
    <s v="Muayene Sonucu Bekleme"/>
    <m/>
    <m/>
    <m/>
    <m/>
    <m/>
    <m/>
    <m/>
    <m/>
    <m/>
    <m/>
    <m/>
    <m/>
    <m/>
    <n v="0"/>
  </r>
  <r>
    <x v="4"/>
    <s v="Standart Dışı Takım/Kalıp ile Çalışma"/>
    <m/>
    <m/>
    <m/>
    <m/>
    <m/>
    <m/>
    <m/>
    <m/>
    <m/>
    <m/>
    <m/>
    <m/>
    <m/>
    <n v="0"/>
  </r>
  <r>
    <x v="4"/>
    <s v="Tezgah Rejime Sokma Zamanı"/>
    <m/>
    <m/>
    <m/>
    <m/>
    <m/>
    <m/>
    <m/>
    <m/>
    <m/>
    <m/>
    <m/>
    <m/>
    <m/>
    <n v="0"/>
  </r>
  <r>
    <x v="4"/>
    <s v="Takım Hazırlama Zamanı"/>
    <m/>
    <m/>
    <m/>
    <m/>
    <m/>
    <m/>
    <m/>
    <m/>
    <m/>
    <m/>
    <m/>
    <m/>
    <m/>
    <n v="0"/>
  </r>
  <r>
    <x v="4"/>
    <s v="Tecrübe / Ön Seri Çalışması"/>
    <m/>
    <m/>
    <m/>
    <m/>
    <m/>
    <m/>
    <m/>
    <m/>
    <m/>
    <m/>
    <m/>
    <m/>
    <m/>
    <n v="0"/>
  </r>
  <r>
    <x v="4"/>
    <s v="Önceki İstasyonu Bekleme (Montaj)"/>
    <m/>
    <m/>
    <m/>
    <m/>
    <m/>
    <m/>
    <m/>
    <m/>
    <m/>
    <m/>
    <m/>
    <m/>
    <m/>
    <n v="0"/>
  </r>
  <r>
    <x v="4"/>
    <s v="Eksik Parça Tamamlama"/>
    <m/>
    <m/>
    <m/>
    <m/>
    <m/>
    <m/>
    <m/>
    <m/>
    <m/>
    <m/>
    <m/>
    <m/>
    <m/>
    <n v="0"/>
  </r>
  <r>
    <x v="5"/>
    <m/>
    <m/>
    <m/>
    <m/>
    <m/>
    <m/>
    <m/>
    <m/>
    <m/>
    <m/>
    <m/>
    <m/>
    <m/>
    <m/>
    <n v="0"/>
  </r>
  <r>
    <x v="4"/>
    <s v="Forklift Bekleme"/>
    <m/>
    <m/>
    <m/>
    <m/>
    <m/>
    <m/>
    <m/>
    <m/>
    <m/>
    <m/>
    <m/>
    <m/>
    <m/>
    <n v="0"/>
  </r>
  <r>
    <x v="4"/>
    <s v="Kaizen Çalışmaları"/>
    <m/>
    <m/>
    <m/>
    <m/>
    <m/>
    <m/>
    <m/>
    <m/>
    <m/>
    <m/>
    <m/>
    <m/>
    <m/>
    <n v="0"/>
  </r>
  <r>
    <x v="4"/>
    <s v="5S Çalışmaları"/>
    <m/>
    <m/>
    <m/>
    <m/>
    <m/>
    <m/>
    <m/>
    <m/>
    <m/>
    <m/>
    <m/>
    <m/>
    <m/>
    <n v="0"/>
  </r>
  <r>
    <x v="4"/>
    <s v="Toplantı / Görüşme"/>
    <m/>
    <m/>
    <m/>
    <m/>
    <m/>
    <m/>
    <m/>
    <m/>
    <m/>
    <m/>
    <m/>
    <m/>
    <m/>
    <n v="0"/>
  </r>
  <r>
    <x v="4"/>
    <s v="Eğitim"/>
    <m/>
    <m/>
    <m/>
    <m/>
    <m/>
    <m/>
    <m/>
    <m/>
    <m/>
    <m/>
    <m/>
    <m/>
    <m/>
    <n v="0"/>
  </r>
  <r>
    <x v="4"/>
    <s v="Görevli"/>
    <m/>
    <m/>
    <m/>
    <m/>
    <m/>
    <m/>
    <m/>
    <m/>
    <m/>
    <m/>
    <m/>
    <m/>
    <m/>
    <n v="0"/>
  </r>
  <r>
    <x v="4"/>
    <s v="İş Verilemedi"/>
    <m/>
    <m/>
    <m/>
    <m/>
    <m/>
    <m/>
    <m/>
    <m/>
    <m/>
    <m/>
    <m/>
    <m/>
    <m/>
    <n v="0"/>
  </r>
  <r>
    <x v="4"/>
    <s v="Revir "/>
    <m/>
    <m/>
    <m/>
    <n v="480"/>
    <m/>
    <m/>
    <m/>
    <m/>
    <m/>
    <m/>
    <m/>
    <m/>
    <m/>
    <n v="480"/>
  </r>
  <r>
    <x v="6"/>
    <s v="Hatalı Malzeme Sebebiyle Bekleme"/>
    <s v="Kesim - Büküm"/>
    <m/>
    <m/>
    <m/>
    <m/>
    <m/>
    <m/>
    <m/>
    <m/>
    <m/>
    <m/>
    <m/>
    <m/>
    <n v="0"/>
  </r>
  <r>
    <x v="6"/>
    <s v="Hatalı Malzeme Sebebiyle Bekleme"/>
    <s v="Talaşlı İmalat"/>
    <m/>
    <m/>
    <m/>
    <m/>
    <m/>
    <m/>
    <m/>
    <m/>
    <m/>
    <m/>
    <m/>
    <m/>
    <n v="0"/>
  </r>
  <r>
    <x v="6"/>
    <s v="Hatalı Malzeme Sebebiyle Bekleme"/>
    <s v="Kaynaklı İmalat"/>
    <m/>
    <m/>
    <m/>
    <m/>
    <m/>
    <m/>
    <m/>
    <m/>
    <m/>
    <m/>
    <m/>
    <m/>
    <n v="0"/>
  </r>
  <r>
    <x v="6"/>
    <s v="Hatalı Malzeme Sebebiyle Bekleme"/>
    <s v="Tesisathane"/>
    <m/>
    <m/>
    <m/>
    <m/>
    <m/>
    <m/>
    <m/>
    <m/>
    <m/>
    <m/>
    <m/>
    <m/>
    <n v="0"/>
  </r>
  <r>
    <x v="6"/>
    <s v="Hatalı Malzeme Sebebiyle Bekleme"/>
    <s v="Silindirhane"/>
    <m/>
    <m/>
    <m/>
    <m/>
    <m/>
    <m/>
    <m/>
    <m/>
    <m/>
    <m/>
    <m/>
    <m/>
    <n v="0"/>
  </r>
  <r>
    <x v="6"/>
    <s v="Hatalı Malzeme Sebebiyle Bekleme"/>
    <s v="Montaj"/>
    <m/>
    <m/>
    <m/>
    <m/>
    <m/>
    <m/>
    <m/>
    <m/>
    <m/>
    <m/>
    <m/>
    <m/>
    <n v="0"/>
  </r>
  <r>
    <x v="6"/>
    <s v="Hatalı Malzeme Sebebiyle Bekleme"/>
    <s v="Boyahane"/>
    <m/>
    <n v="30"/>
    <m/>
    <m/>
    <m/>
    <m/>
    <m/>
    <m/>
    <m/>
    <m/>
    <m/>
    <m/>
    <n v="30"/>
  </r>
  <r>
    <x v="6"/>
    <s v="Hatalı Malzeme Sebebiyle Bekleme"/>
    <s v="Isıl İşlem"/>
    <m/>
    <m/>
    <m/>
    <m/>
    <m/>
    <m/>
    <m/>
    <m/>
    <m/>
    <m/>
    <m/>
    <m/>
    <n v="0"/>
  </r>
  <r>
    <x v="6"/>
    <s v="Hatalı Malzeme Sebebiyle Bekleme"/>
    <s v="Mangan Fosfat"/>
    <m/>
    <m/>
    <m/>
    <m/>
    <m/>
    <m/>
    <m/>
    <m/>
    <m/>
    <m/>
    <m/>
    <m/>
    <n v="0"/>
  </r>
  <r>
    <x v="6"/>
    <s v="Hatalı Malzeme Sebebiyle Bekleme"/>
    <s v="Lojistik / Üretim Planlama"/>
    <m/>
    <m/>
    <m/>
    <m/>
    <m/>
    <m/>
    <m/>
    <m/>
    <m/>
    <m/>
    <m/>
    <m/>
    <n v="0"/>
  </r>
  <r>
    <x v="6"/>
    <s v="Hatalı Malzeme Sebebiyle Bekleme"/>
    <s v="Kalite"/>
    <m/>
    <m/>
    <m/>
    <m/>
    <m/>
    <m/>
    <m/>
    <m/>
    <m/>
    <m/>
    <m/>
    <m/>
    <n v="0"/>
  </r>
  <r>
    <x v="6"/>
    <s v="Hatalı Malzeme Sebebiyle Bekleme"/>
    <s v="Kalıp - Aparat"/>
    <m/>
    <m/>
    <m/>
    <m/>
    <m/>
    <m/>
    <m/>
    <m/>
    <m/>
    <m/>
    <m/>
    <m/>
    <n v="0"/>
  </r>
  <r>
    <x v="6"/>
    <s v="Hatalı Malzeme Sebebiyle Bekleme"/>
    <s v="Mühendislik"/>
    <m/>
    <m/>
    <m/>
    <m/>
    <m/>
    <m/>
    <m/>
    <m/>
    <m/>
    <m/>
    <m/>
    <m/>
    <n v="0"/>
  </r>
  <r>
    <x v="6"/>
    <s v="Hatalı Malzeme Sebebiyle Bekleme"/>
    <s v="Satış Pazarlama"/>
    <m/>
    <m/>
    <m/>
    <m/>
    <m/>
    <m/>
    <m/>
    <m/>
    <m/>
    <m/>
    <m/>
    <m/>
    <n v="0"/>
  </r>
  <r>
    <x v="6"/>
    <s v="Hatalı Malzeme Sebebiyle Bekleme"/>
    <s v="Diğer (Belirtiniz)"/>
    <m/>
    <m/>
    <n v="30"/>
    <m/>
    <m/>
    <m/>
    <m/>
    <n v="210"/>
    <m/>
    <m/>
    <m/>
    <m/>
    <n v="240"/>
  </r>
  <r>
    <x v="6"/>
    <s v="Malzeme Gelmediği İçin Bekleme"/>
    <s v="Kesim - Büküm"/>
    <m/>
    <m/>
    <m/>
    <m/>
    <m/>
    <m/>
    <m/>
    <m/>
    <m/>
    <m/>
    <m/>
    <m/>
    <n v="0"/>
  </r>
  <r>
    <x v="6"/>
    <s v="Malzeme Gelmediği İçin Bekleme"/>
    <s v="Talaşlı İmalat"/>
    <m/>
    <m/>
    <m/>
    <m/>
    <m/>
    <m/>
    <m/>
    <m/>
    <m/>
    <m/>
    <m/>
    <m/>
    <n v="0"/>
  </r>
  <r>
    <x v="6"/>
    <s v="Malzeme Gelmediği İçin Bekleme"/>
    <s v="Kaynaklı İmalat"/>
    <m/>
    <m/>
    <m/>
    <m/>
    <m/>
    <m/>
    <m/>
    <n v="50"/>
    <m/>
    <m/>
    <m/>
    <m/>
    <n v="50"/>
  </r>
  <r>
    <x v="6"/>
    <s v="Malzeme Gelmediği İçin Bekleme"/>
    <s v="Tesisathane"/>
    <m/>
    <m/>
    <m/>
    <m/>
    <m/>
    <m/>
    <m/>
    <m/>
    <m/>
    <m/>
    <m/>
    <m/>
    <n v="0"/>
  </r>
  <r>
    <x v="6"/>
    <s v="Malzeme Gelmediği İçin Bekleme"/>
    <s v="Silindirhane"/>
    <m/>
    <m/>
    <m/>
    <m/>
    <m/>
    <m/>
    <m/>
    <m/>
    <m/>
    <m/>
    <m/>
    <m/>
    <n v="0"/>
  </r>
  <r>
    <x v="6"/>
    <s v="Malzeme Gelmediği İçin Bekleme"/>
    <s v="Montaj"/>
    <m/>
    <m/>
    <m/>
    <m/>
    <m/>
    <m/>
    <m/>
    <m/>
    <m/>
    <m/>
    <m/>
    <m/>
    <n v="0"/>
  </r>
  <r>
    <x v="6"/>
    <s v="Malzeme Gelmediği İçin Bekleme"/>
    <s v="Boyahane"/>
    <m/>
    <m/>
    <m/>
    <m/>
    <m/>
    <m/>
    <m/>
    <m/>
    <m/>
    <m/>
    <m/>
    <m/>
    <n v="0"/>
  </r>
  <r>
    <x v="6"/>
    <s v="Malzeme Gelmediği İçin Bekleme"/>
    <s v="Isıl İşlem"/>
    <m/>
    <m/>
    <m/>
    <m/>
    <m/>
    <m/>
    <m/>
    <m/>
    <m/>
    <m/>
    <m/>
    <m/>
    <n v="0"/>
  </r>
  <r>
    <x v="6"/>
    <s v="Malzeme Gelmediği İçin Bekleme"/>
    <s v="Mangan Fosfat"/>
    <m/>
    <m/>
    <m/>
    <m/>
    <m/>
    <m/>
    <m/>
    <m/>
    <m/>
    <m/>
    <m/>
    <m/>
    <n v="0"/>
  </r>
  <r>
    <x v="6"/>
    <s v="Malzeme Gelmediği İçin Bekleme"/>
    <s v="Lojistik / Üretim Planlama"/>
    <m/>
    <m/>
    <m/>
    <m/>
    <m/>
    <m/>
    <m/>
    <m/>
    <m/>
    <m/>
    <m/>
    <m/>
    <n v="0"/>
  </r>
  <r>
    <x v="6"/>
    <s v="Malzeme Gelmediği İçin Bekleme"/>
    <s v="Kalite"/>
    <m/>
    <m/>
    <m/>
    <m/>
    <m/>
    <m/>
    <m/>
    <m/>
    <m/>
    <m/>
    <m/>
    <m/>
    <n v="0"/>
  </r>
  <r>
    <x v="6"/>
    <s v="Malzeme Gelmediği İçin Bekleme"/>
    <s v="Kalıp - Aparat"/>
    <m/>
    <m/>
    <m/>
    <m/>
    <m/>
    <m/>
    <m/>
    <m/>
    <m/>
    <m/>
    <m/>
    <m/>
    <n v="0"/>
  </r>
  <r>
    <x v="6"/>
    <s v="Malzeme Gelmediği İçin Bekleme"/>
    <s v="Mühendislik"/>
    <m/>
    <m/>
    <m/>
    <m/>
    <m/>
    <m/>
    <m/>
    <m/>
    <m/>
    <m/>
    <m/>
    <m/>
    <n v="0"/>
  </r>
  <r>
    <x v="6"/>
    <s v="Malzeme Gelmediği İçin Bekleme"/>
    <s v="Satış Pazarlama"/>
    <m/>
    <m/>
    <m/>
    <m/>
    <m/>
    <m/>
    <m/>
    <m/>
    <m/>
    <m/>
    <m/>
    <m/>
    <n v="0"/>
  </r>
  <r>
    <x v="6"/>
    <s v="Malzeme Gelmediği İçin Bekleme"/>
    <s v="Diğer (Belirtiniz)"/>
    <n v="835"/>
    <n v="1090"/>
    <n v="705"/>
    <m/>
    <m/>
    <m/>
    <m/>
    <n v="120"/>
    <m/>
    <m/>
    <m/>
    <m/>
    <n v="2750"/>
  </r>
  <r>
    <x v="6"/>
    <s v="Ayar Kaybı"/>
    <m/>
    <m/>
    <n v="270"/>
    <m/>
    <n v="1000"/>
    <n v="760"/>
    <n v="1060"/>
    <n v="690"/>
    <n v="262"/>
    <n v="155"/>
    <m/>
    <m/>
    <m/>
    <n v="4197"/>
  </r>
  <r>
    <x v="6"/>
    <s v="Tesis / Tezgah Arızası / Elektrik Kesintisi"/>
    <m/>
    <n v="75"/>
    <n v="4155"/>
    <n v="360"/>
    <m/>
    <m/>
    <m/>
    <m/>
    <n v="70"/>
    <n v="75"/>
    <m/>
    <m/>
    <m/>
    <n v="4735"/>
  </r>
  <r>
    <x v="6"/>
    <s v="Kalıp / Takım / Ekipman Arızası"/>
    <m/>
    <n v="3400"/>
    <n v="350"/>
    <n v="5315"/>
    <n v="215"/>
    <n v="30"/>
    <n v="145"/>
    <m/>
    <n v="300"/>
    <n v="330"/>
    <m/>
    <m/>
    <m/>
    <n v="10085"/>
  </r>
  <r>
    <x v="6"/>
    <s v="Tezgah / Tesis Temizlik Bakım"/>
    <m/>
    <n v="280"/>
    <m/>
    <n v="470"/>
    <n v="4660"/>
    <n v="4095"/>
    <n v="6295"/>
    <n v="3532"/>
    <n v="4785"/>
    <n v="3967"/>
    <m/>
    <m/>
    <m/>
    <n v="28084"/>
  </r>
  <r>
    <x v="6"/>
    <s v="Muayene Sonucu Bekleme"/>
    <m/>
    <n v="120"/>
    <n v="40"/>
    <n v="90"/>
    <n v="485"/>
    <n v="345"/>
    <n v="365"/>
    <n v="285"/>
    <n v="100"/>
    <n v="20"/>
    <m/>
    <m/>
    <m/>
    <n v="1850"/>
  </r>
  <r>
    <x v="6"/>
    <s v="Standart Dışı Takım/Kalıp ile Çalışma"/>
    <m/>
    <n v="475"/>
    <n v="440"/>
    <n v="235"/>
    <m/>
    <m/>
    <n v="90"/>
    <m/>
    <n v="330"/>
    <m/>
    <m/>
    <m/>
    <m/>
    <n v="1570"/>
  </r>
  <r>
    <x v="6"/>
    <s v="Tezgah Rejime Sokma Zamanı"/>
    <m/>
    <n v="450"/>
    <n v="405"/>
    <n v="470"/>
    <n v="200"/>
    <n v="1135"/>
    <n v="955"/>
    <n v="475"/>
    <n v="395"/>
    <n v="290"/>
    <m/>
    <m/>
    <m/>
    <n v="4775"/>
  </r>
  <r>
    <x v="6"/>
    <s v="Takım Hazırlama Zamanı"/>
    <m/>
    <n v="130"/>
    <n v="640"/>
    <n v="855"/>
    <n v="980"/>
    <n v="480"/>
    <n v="400"/>
    <n v="495"/>
    <n v="1140"/>
    <n v="1505"/>
    <m/>
    <m/>
    <m/>
    <n v="6625"/>
  </r>
  <r>
    <x v="6"/>
    <s v="Tecrübe / Ön Seri Çalışması"/>
    <m/>
    <m/>
    <m/>
    <m/>
    <n v="845"/>
    <n v="320"/>
    <n v="315"/>
    <n v="140"/>
    <n v="40"/>
    <n v="60"/>
    <m/>
    <m/>
    <m/>
    <n v="1720"/>
  </r>
  <r>
    <x v="6"/>
    <s v="Önceki İstasyonu Bekleme (Montaj)"/>
    <m/>
    <n v="890"/>
    <n v="1325"/>
    <n v="1160"/>
    <m/>
    <m/>
    <m/>
    <m/>
    <m/>
    <m/>
    <m/>
    <m/>
    <m/>
    <n v="3375"/>
  </r>
  <r>
    <x v="6"/>
    <s v="Eksik Parça Tamamlama"/>
    <m/>
    <n v="600"/>
    <n v="850"/>
    <n v="993"/>
    <n v="1740"/>
    <n v="650"/>
    <n v="1225"/>
    <n v="1160"/>
    <n v="860"/>
    <n v="755"/>
    <m/>
    <m/>
    <m/>
    <n v="8833"/>
  </r>
  <r>
    <x v="6"/>
    <s v="Vinç Bekleme"/>
    <m/>
    <n v="483"/>
    <n v="485"/>
    <n v="640"/>
    <n v="1810"/>
    <n v="1058"/>
    <n v="3144"/>
    <n v="2111"/>
    <n v="1680"/>
    <n v="2108"/>
    <m/>
    <m/>
    <m/>
    <n v="13519"/>
  </r>
  <r>
    <x v="6"/>
    <s v="Forklift Bekleme"/>
    <m/>
    <m/>
    <m/>
    <m/>
    <n v="600"/>
    <n v="309"/>
    <n v="276"/>
    <n v="385"/>
    <n v="226"/>
    <n v="295"/>
    <m/>
    <m/>
    <m/>
    <n v="2091"/>
  </r>
  <r>
    <x v="6"/>
    <s v="Kaizen Çalışmaları"/>
    <m/>
    <n v="180"/>
    <m/>
    <m/>
    <m/>
    <m/>
    <m/>
    <m/>
    <m/>
    <m/>
    <m/>
    <m/>
    <m/>
    <n v="180"/>
  </r>
  <r>
    <x v="6"/>
    <s v="5S Çalışmaları"/>
    <m/>
    <m/>
    <m/>
    <m/>
    <m/>
    <m/>
    <m/>
    <m/>
    <m/>
    <m/>
    <m/>
    <m/>
    <m/>
    <n v="0"/>
  </r>
  <r>
    <x v="6"/>
    <s v="Toplantı / Görüşme"/>
    <m/>
    <m/>
    <m/>
    <n v="120"/>
    <n v="15"/>
    <m/>
    <m/>
    <m/>
    <n v="450"/>
    <m/>
    <m/>
    <m/>
    <m/>
    <n v="585"/>
  </r>
  <r>
    <x v="6"/>
    <s v="Eğitim"/>
    <m/>
    <n v="1465"/>
    <n v="1325"/>
    <n v="2190"/>
    <m/>
    <m/>
    <m/>
    <m/>
    <m/>
    <m/>
    <m/>
    <m/>
    <m/>
    <n v="4980"/>
  </r>
  <r>
    <x v="6"/>
    <s v="Görevli"/>
    <m/>
    <m/>
    <m/>
    <n v="30"/>
    <n v="2505"/>
    <n v="16760"/>
    <n v="2320"/>
    <n v="12570"/>
    <n v="460"/>
    <n v="375"/>
    <m/>
    <m/>
    <m/>
    <n v="35020"/>
  </r>
  <r>
    <x v="6"/>
    <s v="İş Verilemedi"/>
    <m/>
    <n v="15"/>
    <n v="30"/>
    <n v="110"/>
    <m/>
    <m/>
    <m/>
    <m/>
    <m/>
    <m/>
    <m/>
    <m/>
    <m/>
    <n v="155"/>
  </r>
  <r>
    <x v="6"/>
    <s v="Revir "/>
    <m/>
    <m/>
    <m/>
    <m/>
    <n v="270"/>
    <n v="20"/>
    <n v="690"/>
    <n v="1010"/>
    <n v="200"/>
    <m/>
    <m/>
    <m/>
    <m/>
    <n v="2190"/>
  </r>
  <r>
    <x v="7"/>
    <s v="Hatalı Malzeme Sebebiyle Bekleme"/>
    <s v="Kesim - Büküm"/>
    <m/>
    <m/>
    <m/>
    <m/>
    <m/>
    <m/>
    <m/>
    <m/>
    <m/>
    <m/>
    <m/>
    <m/>
    <n v="0"/>
  </r>
  <r>
    <x v="7"/>
    <s v="Hatalı Malzeme Sebebiyle Bekleme"/>
    <s v="Talaşlı İmalat"/>
    <n v="180"/>
    <n v="175"/>
    <m/>
    <m/>
    <m/>
    <m/>
    <m/>
    <m/>
    <m/>
    <m/>
    <m/>
    <m/>
    <n v="355"/>
  </r>
  <r>
    <x v="7"/>
    <s v="Hatalı Malzeme Sebebiyle Bekleme"/>
    <s v="Kaynaklı İmalat"/>
    <m/>
    <m/>
    <m/>
    <m/>
    <m/>
    <m/>
    <m/>
    <m/>
    <m/>
    <m/>
    <m/>
    <m/>
    <n v="0"/>
  </r>
  <r>
    <x v="7"/>
    <s v="Hatalı Malzeme Sebebiyle Bekleme"/>
    <s v="Tesisathane"/>
    <m/>
    <m/>
    <m/>
    <m/>
    <m/>
    <m/>
    <m/>
    <m/>
    <m/>
    <m/>
    <m/>
    <m/>
    <n v="0"/>
  </r>
  <r>
    <x v="7"/>
    <s v="Hatalı Malzeme Sebebiyle Bekleme"/>
    <s v="Silindirhane"/>
    <m/>
    <m/>
    <m/>
    <m/>
    <m/>
    <m/>
    <m/>
    <m/>
    <m/>
    <m/>
    <m/>
    <m/>
    <n v="0"/>
  </r>
  <r>
    <x v="7"/>
    <s v="Hatalı Malzeme Sebebiyle Bekleme"/>
    <s v="Montaj"/>
    <m/>
    <m/>
    <m/>
    <m/>
    <m/>
    <m/>
    <m/>
    <m/>
    <m/>
    <m/>
    <m/>
    <m/>
    <n v="0"/>
  </r>
  <r>
    <x v="7"/>
    <s v="Hatalı Malzeme Sebebiyle Bekleme"/>
    <s v="Boyahane"/>
    <m/>
    <m/>
    <m/>
    <m/>
    <m/>
    <m/>
    <m/>
    <m/>
    <m/>
    <m/>
    <m/>
    <m/>
    <n v="0"/>
  </r>
  <r>
    <x v="7"/>
    <s v="Hatalı Malzeme Sebebiyle Bekleme"/>
    <s v="Isıl İşlem"/>
    <m/>
    <m/>
    <m/>
    <m/>
    <m/>
    <m/>
    <m/>
    <m/>
    <m/>
    <m/>
    <m/>
    <m/>
    <n v="0"/>
  </r>
  <r>
    <x v="7"/>
    <s v="Hatalı Malzeme Sebebiyle Bekleme"/>
    <s v="Mangan Fosfat"/>
    <m/>
    <m/>
    <m/>
    <m/>
    <m/>
    <m/>
    <m/>
    <m/>
    <m/>
    <m/>
    <m/>
    <m/>
    <n v="0"/>
  </r>
  <r>
    <x v="7"/>
    <s v="Hatalı Malzeme Sebebiyle Bekleme"/>
    <s v="Lojistik / Üretim Planlama"/>
    <m/>
    <m/>
    <m/>
    <m/>
    <m/>
    <m/>
    <m/>
    <m/>
    <m/>
    <m/>
    <m/>
    <m/>
    <n v="0"/>
  </r>
  <r>
    <x v="7"/>
    <s v="Hatalı Malzeme Sebebiyle Bekleme"/>
    <s v="Kalite"/>
    <m/>
    <m/>
    <m/>
    <m/>
    <m/>
    <m/>
    <m/>
    <m/>
    <m/>
    <m/>
    <m/>
    <m/>
    <n v="0"/>
  </r>
  <r>
    <x v="7"/>
    <s v="Hatalı Malzeme Sebebiyle Bekleme"/>
    <s v="Kalıp - Aparat"/>
    <m/>
    <m/>
    <m/>
    <m/>
    <m/>
    <m/>
    <m/>
    <m/>
    <m/>
    <m/>
    <m/>
    <m/>
    <n v="0"/>
  </r>
  <r>
    <x v="7"/>
    <s v="Hatalı Malzeme Sebebiyle Bekleme"/>
    <s v="Mühendislik"/>
    <m/>
    <m/>
    <m/>
    <m/>
    <m/>
    <m/>
    <m/>
    <m/>
    <m/>
    <m/>
    <m/>
    <m/>
    <n v="0"/>
  </r>
  <r>
    <x v="7"/>
    <s v="Hatalı Malzeme Sebebiyle Bekleme"/>
    <s v="Satış Pazarlama"/>
    <m/>
    <m/>
    <m/>
    <m/>
    <m/>
    <m/>
    <m/>
    <m/>
    <m/>
    <m/>
    <m/>
    <m/>
    <n v="0"/>
  </r>
  <r>
    <x v="7"/>
    <s v="Hatalı Malzeme Sebebiyle Bekleme"/>
    <s v="Diğer (Belirtiniz)"/>
    <m/>
    <m/>
    <m/>
    <m/>
    <m/>
    <m/>
    <m/>
    <m/>
    <m/>
    <m/>
    <m/>
    <m/>
    <n v="0"/>
  </r>
  <r>
    <x v="7"/>
    <s v="Malzeme Gelmediği İçin Bekleme"/>
    <s v="Kesim - Büküm"/>
    <m/>
    <n v="70"/>
    <m/>
    <m/>
    <m/>
    <m/>
    <m/>
    <m/>
    <m/>
    <m/>
    <m/>
    <m/>
    <n v="70"/>
  </r>
  <r>
    <x v="7"/>
    <s v="Malzeme Gelmediği İçin Bekleme"/>
    <s v="Talaşlı İmalat"/>
    <n v="6075"/>
    <n v="2370"/>
    <n v="1770"/>
    <m/>
    <m/>
    <m/>
    <m/>
    <m/>
    <m/>
    <m/>
    <m/>
    <m/>
    <n v="10215"/>
  </r>
  <r>
    <x v="7"/>
    <s v="Malzeme Gelmediği İçin Bekleme"/>
    <s v="Kaynaklı İmalat"/>
    <m/>
    <m/>
    <m/>
    <n v="1780"/>
    <n v="705"/>
    <n v="2095"/>
    <m/>
    <m/>
    <m/>
    <m/>
    <m/>
    <m/>
    <n v="4580"/>
  </r>
  <r>
    <x v="7"/>
    <s v="Malzeme Gelmediği İçin Bekleme"/>
    <s v="Tesisathane"/>
    <m/>
    <m/>
    <m/>
    <m/>
    <m/>
    <m/>
    <m/>
    <m/>
    <m/>
    <m/>
    <m/>
    <m/>
    <n v="0"/>
  </r>
  <r>
    <x v="7"/>
    <s v="Malzeme Gelmediği İçin Bekleme"/>
    <s v="Silindirhane"/>
    <m/>
    <m/>
    <m/>
    <m/>
    <m/>
    <m/>
    <m/>
    <m/>
    <m/>
    <m/>
    <m/>
    <m/>
    <n v="0"/>
  </r>
  <r>
    <x v="7"/>
    <s v="Malzeme Gelmediği İçin Bekleme"/>
    <s v="Montaj"/>
    <m/>
    <m/>
    <m/>
    <m/>
    <m/>
    <m/>
    <m/>
    <m/>
    <m/>
    <m/>
    <m/>
    <m/>
    <n v="0"/>
  </r>
  <r>
    <x v="7"/>
    <s v="Malzeme Gelmediği İçin Bekleme"/>
    <s v="Boyahane"/>
    <m/>
    <m/>
    <m/>
    <m/>
    <m/>
    <m/>
    <m/>
    <m/>
    <m/>
    <m/>
    <m/>
    <m/>
    <n v="0"/>
  </r>
  <r>
    <x v="7"/>
    <s v="Malzeme Gelmediği İçin Bekleme"/>
    <s v="Isıl İşlem"/>
    <m/>
    <m/>
    <m/>
    <m/>
    <m/>
    <m/>
    <m/>
    <m/>
    <m/>
    <m/>
    <m/>
    <m/>
    <n v="0"/>
  </r>
  <r>
    <x v="7"/>
    <s v="Malzeme Gelmediği İçin Bekleme"/>
    <s v="Mangan Fosfat"/>
    <m/>
    <m/>
    <m/>
    <m/>
    <m/>
    <m/>
    <m/>
    <m/>
    <m/>
    <m/>
    <m/>
    <m/>
    <n v="0"/>
  </r>
  <r>
    <x v="7"/>
    <s v="Malzeme Gelmediği İçin Bekleme"/>
    <s v="Lojistik / Üretim Planlama"/>
    <m/>
    <m/>
    <m/>
    <m/>
    <m/>
    <m/>
    <m/>
    <m/>
    <m/>
    <m/>
    <m/>
    <m/>
    <n v="0"/>
  </r>
  <r>
    <x v="7"/>
    <s v="Malzeme Gelmediği İçin Bekleme"/>
    <s v="Kalite"/>
    <m/>
    <m/>
    <m/>
    <m/>
    <m/>
    <m/>
    <m/>
    <m/>
    <m/>
    <m/>
    <m/>
    <m/>
    <n v="0"/>
  </r>
  <r>
    <x v="7"/>
    <s v="Malzeme Gelmediği İçin Bekleme"/>
    <s v="Kalıp - Aparat"/>
    <m/>
    <m/>
    <m/>
    <m/>
    <m/>
    <m/>
    <m/>
    <m/>
    <m/>
    <m/>
    <m/>
    <m/>
    <n v="0"/>
  </r>
  <r>
    <x v="7"/>
    <s v="Malzeme Gelmediği İçin Bekleme"/>
    <s v="Mühendislik"/>
    <m/>
    <m/>
    <m/>
    <m/>
    <m/>
    <m/>
    <m/>
    <m/>
    <m/>
    <m/>
    <m/>
    <m/>
    <n v="0"/>
  </r>
  <r>
    <x v="7"/>
    <s v="Malzeme Gelmediği İçin Bekleme"/>
    <s v="Satış Pazarlama"/>
    <m/>
    <m/>
    <m/>
    <m/>
    <m/>
    <m/>
    <m/>
    <m/>
    <m/>
    <m/>
    <m/>
    <m/>
    <n v="0"/>
  </r>
  <r>
    <x v="7"/>
    <s v="Malzeme Gelmediği İçin Bekleme"/>
    <s v="Diğer (Belirtiniz)"/>
    <n v="8395"/>
    <n v="9225"/>
    <n v="8530"/>
    <m/>
    <m/>
    <m/>
    <m/>
    <m/>
    <m/>
    <m/>
    <m/>
    <m/>
    <n v="26150"/>
  </r>
  <r>
    <x v="7"/>
    <s v="Ayar Kaybı"/>
    <m/>
    <m/>
    <n v="350"/>
    <n v="270"/>
    <n v="3950"/>
    <n v="645"/>
    <n v="2590"/>
    <m/>
    <m/>
    <n v="3465"/>
    <m/>
    <m/>
    <m/>
    <n v="11270"/>
  </r>
  <r>
    <x v="7"/>
    <s v="Tesis / Tezgah Arızası / Elektrik Kesintisi"/>
    <m/>
    <m/>
    <n v="420"/>
    <m/>
    <n v="565"/>
    <m/>
    <n v="120"/>
    <m/>
    <m/>
    <m/>
    <m/>
    <m/>
    <m/>
    <n v="1105"/>
  </r>
  <r>
    <x v="7"/>
    <s v="Kalıp / Takım / Ekipman Arızası"/>
    <m/>
    <n v="510"/>
    <m/>
    <m/>
    <n v="460"/>
    <m/>
    <m/>
    <m/>
    <m/>
    <n v="240"/>
    <m/>
    <m/>
    <m/>
    <n v="1210"/>
  </r>
  <r>
    <x v="7"/>
    <s v="Tezgah / Tesis Temizlik Bakım"/>
    <m/>
    <m/>
    <m/>
    <m/>
    <m/>
    <m/>
    <n v="75"/>
    <m/>
    <m/>
    <n v="3055"/>
    <m/>
    <m/>
    <m/>
    <n v="3130"/>
  </r>
  <r>
    <x v="7"/>
    <s v="Muayene Sonucu Bekleme"/>
    <m/>
    <m/>
    <m/>
    <m/>
    <m/>
    <m/>
    <m/>
    <m/>
    <m/>
    <m/>
    <m/>
    <m/>
    <m/>
    <n v="0"/>
  </r>
  <r>
    <x v="7"/>
    <s v="Standart Dışı Takım/Kalıp ile Çalışma"/>
    <m/>
    <m/>
    <m/>
    <m/>
    <m/>
    <m/>
    <m/>
    <m/>
    <m/>
    <m/>
    <m/>
    <m/>
    <m/>
    <n v="0"/>
  </r>
  <r>
    <x v="7"/>
    <s v="Tezgah Rejime Sokma Zamanı"/>
    <m/>
    <n v="360"/>
    <m/>
    <n v="120"/>
    <m/>
    <m/>
    <m/>
    <m/>
    <m/>
    <n v="60"/>
    <m/>
    <m/>
    <m/>
    <n v="540"/>
  </r>
  <r>
    <x v="7"/>
    <s v="Takım Hazırlama Zamanı"/>
    <m/>
    <m/>
    <m/>
    <m/>
    <m/>
    <m/>
    <m/>
    <m/>
    <m/>
    <n v="190"/>
    <m/>
    <m/>
    <m/>
    <n v="190"/>
  </r>
  <r>
    <x v="7"/>
    <s v="Tecrübe / Ön Seri Çalışması"/>
    <m/>
    <m/>
    <m/>
    <m/>
    <m/>
    <m/>
    <m/>
    <m/>
    <m/>
    <m/>
    <m/>
    <m/>
    <m/>
    <n v="0"/>
  </r>
  <r>
    <x v="7"/>
    <s v="Önceki İstasyonu Bekleme (Montaj)"/>
    <m/>
    <m/>
    <m/>
    <m/>
    <m/>
    <m/>
    <m/>
    <m/>
    <m/>
    <m/>
    <m/>
    <m/>
    <m/>
    <n v="0"/>
  </r>
  <r>
    <x v="7"/>
    <s v="Eksik Parça Tamamlama"/>
    <m/>
    <m/>
    <n v="180"/>
    <m/>
    <m/>
    <m/>
    <m/>
    <m/>
    <m/>
    <m/>
    <m/>
    <m/>
    <m/>
    <n v="180"/>
  </r>
  <r>
    <x v="7"/>
    <s v="Vinç Bekleme"/>
    <m/>
    <m/>
    <m/>
    <m/>
    <m/>
    <m/>
    <m/>
    <m/>
    <m/>
    <m/>
    <m/>
    <m/>
    <m/>
    <n v="0"/>
  </r>
  <r>
    <x v="7"/>
    <s v="Forklift Bekleme"/>
    <m/>
    <m/>
    <m/>
    <m/>
    <m/>
    <m/>
    <m/>
    <m/>
    <m/>
    <m/>
    <m/>
    <m/>
    <m/>
    <n v="0"/>
  </r>
  <r>
    <x v="7"/>
    <s v="Kaizen Çalışmaları"/>
    <m/>
    <m/>
    <m/>
    <m/>
    <m/>
    <m/>
    <m/>
    <m/>
    <m/>
    <m/>
    <m/>
    <m/>
    <m/>
    <n v="0"/>
  </r>
  <r>
    <x v="7"/>
    <s v="5S Çalışmaları"/>
    <m/>
    <m/>
    <m/>
    <m/>
    <m/>
    <m/>
    <m/>
    <m/>
    <m/>
    <m/>
    <m/>
    <m/>
    <m/>
    <n v="0"/>
  </r>
  <r>
    <x v="7"/>
    <s v="Toplantı / Görüşme"/>
    <m/>
    <m/>
    <n v="120"/>
    <m/>
    <m/>
    <m/>
    <m/>
    <m/>
    <m/>
    <m/>
    <m/>
    <m/>
    <m/>
    <n v="120"/>
  </r>
  <r>
    <x v="7"/>
    <s v="Eğitim"/>
    <m/>
    <m/>
    <m/>
    <m/>
    <m/>
    <m/>
    <m/>
    <m/>
    <m/>
    <m/>
    <m/>
    <m/>
    <m/>
    <n v="0"/>
  </r>
  <r>
    <x v="7"/>
    <s v="Görevli"/>
    <m/>
    <m/>
    <m/>
    <m/>
    <m/>
    <m/>
    <m/>
    <m/>
    <m/>
    <m/>
    <m/>
    <m/>
    <m/>
    <n v="0"/>
  </r>
  <r>
    <x v="7"/>
    <s v="İş Verilemedi"/>
    <m/>
    <m/>
    <m/>
    <m/>
    <m/>
    <m/>
    <m/>
    <m/>
    <m/>
    <m/>
    <m/>
    <m/>
    <m/>
    <n v="0"/>
  </r>
  <r>
    <x v="7"/>
    <s v="Revir "/>
    <m/>
    <m/>
    <m/>
    <m/>
    <m/>
    <m/>
    <m/>
    <m/>
    <m/>
    <m/>
    <m/>
    <m/>
    <m/>
    <n v="0"/>
  </r>
  <r>
    <x v="8"/>
    <s v="Hatalı Malzeme Sebebiyle Bekleme"/>
    <s v="Kesim - Büküm"/>
    <m/>
    <m/>
    <m/>
    <m/>
    <m/>
    <m/>
    <m/>
    <m/>
    <m/>
    <m/>
    <m/>
    <m/>
    <n v="0"/>
  </r>
  <r>
    <x v="8"/>
    <s v="Hatalı Malzeme Sebebiyle Bekleme"/>
    <s v="Talaşlı İmalat"/>
    <m/>
    <m/>
    <m/>
    <m/>
    <m/>
    <m/>
    <m/>
    <m/>
    <m/>
    <m/>
    <m/>
    <m/>
    <n v="0"/>
  </r>
  <r>
    <x v="8"/>
    <s v="Hatalı Malzeme Sebebiyle Bekleme"/>
    <s v="Kaynaklı İmalat"/>
    <m/>
    <m/>
    <m/>
    <m/>
    <m/>
    <m/>
    <m/>
    <m/>
    <m/>
    <m/>
    <m/>
    <m/>
    <n v="0"/>
  </r>
  <r>
    <x v="8"/>
    <s v="Hatalı Malzeme Sebebiyle Bekleme"/>
    <s v="Tesisathane"/>
    <m/>
    <m/>
    <m/>
    <m/>
    <m/>
    <m/>
    <m/>
    <m/>
    <m/>
    <m/>
    <m/>
    <m/>
    <n v="0"/>
  </r>
  <r>
    <x v="8"/>
    <s v="Hatalı Malzeme Sebebiyle Bekleme"/>
    <s v="Silindirhane"/>
    <m/>
    <m/>
    <m/>
    <m/>
    <m/>
    <m/>
    <m/>
    <m/>
    <m/>
    <m/>
    <m/>
    <m/>
    <n v="0"/>
  </r>
  <r>
    <x v="8"/>
    <s v="Hatalı Malzeme Sebebiyle Bekleme"/>
    <s v="Montaj"/>
    <m/>
    <m/>
    <m/>
    <m/>
    <m/>
    <m/>
    <m/>
    <m/>
    <m/>
    <m/>
    <m/>
    <m/>
    <n v="0"/>
  </r>
  <r>
    <x v="8"/>
    <s v="Hatalı Malzeme Sebebiyle Bekleme"/>
    <s v="Boyahane"/>
    <m/>
    <m/>
    <m/>
    <m/>
    <m/>
    <m/>
    <m/>
    <m/>
    <m/>
    <m/>
    <m/>
    <m/>
    <n v="0"/>
  </r>
  <r>
    <x v="8"/>
    <s v="Hatalı Malzeme Sebebiyle Bekleme"/>
    <s v="Isıl İşlem"/>
    <m/>
    <m/>
    <m/>
    <m/>
    <m/>
    <m/>
    <m/>
    <m/>
    <m/>
    <m/>
    <m/>
    <m/>
    <n v="0"/>
  </r>
  <r>
    <x v="8"/>
    <s v="Hatalı Malzeme Sebebiyle Bekleme"/>
    <s v="Mangan Fosfat"/>
    <m/>
    <m/>
    <m/>
    <m/>
    <m/>
    <m/>
    <m/>
    <m/>
    <m/>
    <m/>
    <m/>
    <m/>
    <n v="0"/>
  </r>
  <r>
    <x v="8"/>
    <s v="Hatalı Malzeme Sebebiyle Bekleme"/>
    <s v="Lojistik / Üretim Planlama"/>
    <m/>
    <m/>
    <m/>
    <m/>
    <m/>
    <m/>
    <m/>
    <m/>
    <m/>
    <m/>
    <m/>
    <m/>
    <n v="0"/>
  </r>
  <r>
    <x v="8"/>
    <s v="Hatalı Malzeme Sebebiyle Bekleme"/>
    <s v="Kalite"/>
    <m/>
    <m/>
    <m/>
    <m/>
    <m/>
    <m/>
    <m/>
    <m/>
    <m/>
    <m/>
    <m/>
    <m/>
    <n v="0"/>
  </r>
  <r>
    <x v="8"/>
    <s v="Hatalı Malzeme Sebebiyle Bekleme"/>
    <s v="Kalıp - Aparat"/>
    <m/>
    <m/>
    <m/>
    <m/>
    <m/>
    <m/>
    <m/>
    <m/>
    <m/>
    <m/>
    <m/>
    <m/>
    <n v="0"/>
  </r>
  <r>
    <x v="8"/>
    <s v="Hatalı Malzeme Sebebiyle Bekleme"/>
    <s v="Mühendislik"/>
    <m/>
    <m/>
    <m/>
    <m/>
    <m/>
    <m/>
    <m/>
    <m/>
    <m/>
    <m/>
    <m/>
    <m/>
    <n v="0"/>
  </r>
  <r>
    <x v="8"/>
    <s v="Hatalı Malzeme Sebebiyle Bekleme"/>
    <s v="Satış Pazarlama"/>
    <m/>
    <m/>
    <m/>
    <m/>
    <m/>
    <m/>
    <m/>
    <m/>
    <m/>
    <m/>
    <m/>
    <m/>
    <n v="0"/>
  </r>
  <r>
    <x v="8"/>
    <s v="Hatalı Malzeme Sebebiyle Bekleme"/>
    <s v="Diğer (Belirtiniz)"/>
    <m/>
    <m/>
    <m/>
    <m/>
    <m/>
    <m/>
    <m/>
    <m/>
    <m/>
    <m/>
    <m/>
    <m/>
    <n v="0"/>
  </r>
  <r>
    <x v="8"/>
    <s v="Malzeme Gelmediği İçin Bekleme"/>
    <s v="Kesim - Büküm"/>
    <m/>
    <m/>
    <m/>
    <m/>
    <m/>
    <m/>
    <m/>
    <m/>
    <m/>
    <m/>
    <m/>
    <m/>
    <n v="0"/>
  </r>
  <r>
    <x v="8"/>
    <s v="Malzeme Gelmediği İçin Bekleme"/>
    <s v="Talaşlı İmalat"/>
    <m/>
    <m/>
    <m/>
    <m/>
    <m/>
    <m/>
    <m/>
    <m/>
    <m/>
    <m/>
    <m/>
    <m/>
    <n v="0"/>
  </r>
  <r>
    <x v="8"/>
    <s v="Malzeme Gelmediği İçin Bekleme"/>
    <s v="Kaynaklı İmalat"/>
    <m/>
    <m/>
    <m/>
    <m/>
    <m/>
    <n v="350"/>
    <m/>
    <m/>
    <m/>
    <m/>
    <m/>
    <m/>
    <n v="350"/>
  </r>
  <r>
    <x v="8"/>
    <s v="Malzeme Gelmediği İçin Bekleme"/>
    <s v="Tesisathane"/>
    <m/>
    <m/>
    <m/>
    <m/>
    <m/>
    <m/>
    <m/>
    <m/>
    <m/>
    <m/>
    <m/>
    <m/>
    <n v="0"/>
  </r>
  <r>
    <x v="8"/>
    <s v="Malzeme Gelmediği İçin Bekleme"/>
    <s v="Silindirhane"/>
    <m/>
    <m/>
    <m/>
    <m/>
    <m/>
    <m/>
    <m/>
    <m/>
    <m/>
    <m/>
    <m/>
    <m/>
    <n v="0"/>
  </r>
  <r>
    <x v="8"/>
    <s v="Malzeme Gelmediği İçin Bekleme"/>
    <s v="Montaj"/>
    <m/>
    <m/>
    <m/>
    <m/>
    <m/>
    <m/>
    <m/>
    <m/>
    <m/>
    <m/>
    <m/>
    <m/>
    <n v="0"/>
  </r>
  <r>
    <x v="8"/>
    <s v="Malzeme Gelmediği İçin Bekleme"/>
    <s v="Boyahane"/>
    <m/>
    <m/>
    <m/>
    <m/>
    <m/>
    <m/>
    <m/>
    <m/>
    <m/>
    <m/>
    <m/>
    <m/>
    <n v="0"/>
  </r>
  <r>
    <x v="8"/>
    <s v="Malzeme Gelmediği İçin Bekleme"/>
    <s v="Isıl İşlem"/>
    <m/>
    <m/>
    <m/>
    <m/>
    <m/>
    <m/>
    <m/>
    <m/>
    <m/>
    <m/>
    <m/>
    <m/>
    <n v="0"/>
  </r>
  <r>
    <x v="8"/>
    <s v="Malzeme Gelmediği İçin Bekleme"/>
    <s v="Mangan Fosfat"/>
    <m/>
    <m/>
    <m/>
    <m/>
    <m/>
    <m/>
    <m/>
    <m/>
    <m/>
    <m/>
    <m/>
    <m/>
    <n v="0"/>
  </r>
  <r>
    <x v="8"/>
    <s v="Malzeme Gelmediği İçin Bekleme"/>
    <s v="Lojistik / Üretim Planlama"/>
    <m/>
    <m/>
    <m/>
    <m/>
    <m/>
    <m/>
    <m/>
    <m/>
    <m/>
    <m/>
    <m/>
    <m/>
    <n v="0"/>
  </r>
  <r>
    <x v="8"/>
    <s v="Malzeme Gelmediği İçin Bekleme"/>
    <s v="Kalite"/>
    <m/>
    <m/>
    <m/>
    <m/>
    <m/>
    <m/>
    <m/>
    <m/>
    <m/>
    <m/>
    <m/>
    <m/>
    <n v="0"/>
  </r>
  <r>
    <x v="8"/>
    <s v="Malzeme Gelmediği İçin Bekleme"/>
    <s v="Kalıp - Aparat"/>
    <m/>
    <m/>
    <m/>
    <m/>
    <m/>
    <m/>
    <m/>
    <m/>
    <m/>
    <m/>
    <m/>
    <m/>
    <n v="0"/>
  </r>
  <r>
    <x v="8"/>
    <s v="Malzeme Gelmediği İçin Bekleme"/>
    <s v="Mühendislik"/>
    <m/>
    <m/>
    <m/>
    <m/>
    <m/>
    <m/>
    <m/>
    <m/>
    <m/>
    <m/>
    <m/>
    <m/>
    <n v="0"/>
  </r>
  <r>
    <x v="8"/>
    <s v="Malzeme Gelmediği İçin Bekleme"/>
    <s v="Satış Pazarlama"/>
    <m/>
    <m/>
    <m/>
    <m/>
    <m/>
    <m/>
    <m/>
    <m/>
    <m/>
    <m/>
    <m/>
    <m/>
    <n v="0"/>
  </r>
  <r>
    <x v="8"/>
    <s v="Malzeme Gelmediği İçin Bekleme"/>
    <s v="Diğer (Belirtiniz)"/>
    <m/>
    <m/>
    <m/>
    <m/>
    <m/>
    <m/>
    <m/>
    <m/>
    <m/>
    <m/>
    <m/>
    <m/>
    <n v="0"/>
  </r>
  <r>
    <x v="8"/>
    <s v="Ayar Kaybı"/>
    <m/>
    <m/>
    <m/>
    <m/>
    <n v="4335"/>
    <n v="705"/>
    <n v="4800"/>
    <m/>
    <m/>
    <n v="7055"/>
    <m/>
    <m/>
    <m/>
    <n v="16895"/>
  </r>
  <r>
    <x v="8"/>
    <s v="Tesis / Tezgah Arızası / Elektrik Kesintisi"/>
    <m/>
    <m/>
    <m/>
    <m/>
    <m/>
    <m/>
    <m/>
    <m/>
    <m/>
    <m/>
    <m/>
    <m/>
    <m/>
    <n v="0"/>
  </r>
  <r>
    <x v="8"/>
    <s v="Kalıp / Takım / Ekipman Arızası"/>
    <m/>
    <m/>
    <m/>
    <m/>
    <m/>
    <m/>
    <m/>
    <m/>
    <m/>
    <n v="260"/>
    <m/>
    <m/>
    <m/>
    <n v="260"/>
  </r>
  <r>
    <x v="8"/>
    <s v="Tezgah / Tesis Temizlik Bakım"/>
    <m/>
    <m/>
    <m/>
    <m/>
    <m/>
    <m/>
    <m/>
    <m/>
    <m/>
    <n v="1980"/>
    <m/>
    <m/>
    <m/>
    <n v="1980"/>
  </r>
  <r>
    <x v="8"/>
    <s v="Muayene Sonucu Bekleme"/>
    <m/>
    <m/>
    <m/>
    <m/>
    <m/>
    <m/>
    <m/>
    <m/>
    <m/>
    <m/>
    <m/>
    <m/>
    <m/>
    <n v="0"/>
  </r>
  <r>
    <x v="8"/>
    <s v="Standart Dışı Takım/Kalıp ile Çalışma"/>
    <m/>
    <m/>
    <m/>
    <m/>
    <m/>
    <m/>
    <m/>
    <m/>
    <m/>
    <m/>
    <m/>
    <m/>
    <m/>
    <n v="0"/>
  </r>
  <r>
    <x v="8"/>
    <s v="Tezgah Rejime Sokma Zamanı"/>
    <m/>
    <m/>
    <m/>
    <m/>
    <m/>
    <m/>
    <m/>
    <m/>
    <m/>
    <m/>
    <m/>
    <m/>
    <m/>
    <n v="0"/>
  </r>
  <r>
    <x v="8"/>
    <s v="Takım Hazırlama Zamanı"/>
    <m/>
    <m/>
    <m/>
    <m/>
    <m/>
    <m/>
    <m/>
    <m/>
    <m/>
    <m/>
    <m/>
    <m/>
    <m/>
    <n v="0"/>
  </r>
  <r>
    <x v="8"/>
    <s v="Tecrübe / Ön Seri Çalışması"/>
    <m/>
    <m/>
    <m/>
    <m/>
    <m/>
    <m/>
    <m/>
    <m/>
    <m/>
    <m/>
    <m/>
    <m/>
    <m/>
    <n v="0"/>
  </r>
  <r>
    <x v="8"/>
    <s v="Önceki İstasyonu Bekleme (Montaj)"/>
    <m/>
    <m/>
    <m/>
    <m/>
    <m/>
    <m/>
    <m/>
    <m/>
    <m/>
    <m/>
    <m/>
    <m/>
    <m/>
    <n v="0"/>
  </r>
  <r>
    <x v="8"/>
    <s v="Eksik Parça Tamamlama"/>
    <m/>
    <m/>
    <m/>
    <m/>
    <m/>
    <m/>
    <m/>
    <m/>
    <m/>
    <m/>
    <m/>
    <m/>
    <m/>
    <n v="0"/>
  </r>
  <r>
    <x v="8"/>
    <s v="Vinç Bekleme"/>
    <m/>
    <m/>
    <m/>
    <m/>
    <m/>
    <m/>
    <m/>
    <m/>
    <m/>
    <m/>
    <m/>
    <m/>
    <m/>
    <n v="0"/>
  </r>
  <r>
    <x v="8"/>
    <s v="Forklift Bekleme"/>
    <m/>
    <m/>
    <m/>
    <m/>
    <m/>
    <m/>
    <m/>
    <m/>
    <m/>
    <m/>
    <m/>
    <m/>
    <m/>
    <n v="0"/>
  </r>
  <r>
    <x v="8"/>
    <s v="Kaizen Çalışmaları"/>
    <m/>
    <m/>
    <m/>
    <m/>
    <m/>
    <m/>
    <m/>
    <m/>
    <m/>
    <m/>
    <m/>
    <m/>
    <m/>
    <n v="0"/>
  </r>
  <r>
    <x v="8"/>
    <s v="5S Çalışmaları"/>
    <m/>
    <m/>
    <m/>
    <m/>
    <m/>
    <m/>
    <m/>
    <m/>
    <m/>
    <m/>
    <m/>
    <m/>
    <m/>
    <n v="0"/>
  </r>
  <r>
    <x v="8"/>
    <s v="Toplantı / Görüşme"/>
    <m/>
    <m/>
    <m/>
    <m/>
    <m/>
    <m/>
    <m/>
    <m/>
    <m/>
    <m/>
    <m/>
    <m/>
    <m/>
    <n v="0"/>
  </r>
  <r>
    <x v="8"/>
    <s v="Eğitim"/>
    <m/>
    <m/>
    <m/>
    <m/>
    <m/>
    <m/>
    <m/>
    <m/>
    <m/>
    <n v="60"/>
    <m/>
    <m/>
    <m/>
    <n v="60"/>
  </r>
  <r>
    <x v="8"/>
    <s v="Görevli"/>
    <m/>
    <m/>
    <m/>
    <m/>
    <m/>
    <m/>
    <m/>
    <m/>
    <m/>
    <m/>
    <m/>
    <m/>
    <m/>
    <n v="0"/>
  </r>
  <r>
    <x v="8"/>
    <s v="İş Verilemedi"/>
    <m/>
    <m/>
    <m/>
    <m/>
    <m/>
    <m/>
    <m/>
    <m/>
    <m/>
    <m/>
    <m/>
    <m/>
    <m/>
    <n v="0"/>
  </r>
  <r>
    <x v="8"/>
    <s v="Revir "/>
    <m/>
    <m/>
    <m/>
    <m/>
    <m/>
    <m/>
    <m/>
    <m/>
    <m/>
    <m/>
    <m/>
    <m/>
    <m/>
    <n v="0"/>
  </r>
  <r>
    <x v="9"/>
    <s v="Hatalı Malzeme Sebebiyle Bekleme"/>
    <s v="Kesim - Büküm"/>
    <m/>
    <m/>
    <m/>
    <m/>
    <m/>
    <m/>
    <m/>
    <m/>
    <m/>
    <m/>
    <m/>
    <m/>
    <n v="0"/>
  </r>
  <r>
    <x v="9"/>
    <s v="Hatalı Malzeme Sebebiyle Bekleme"/>
    <s v="Talaşlı İmalat"/>
    <m/>
    <m/>
    <m/>
    <m/>
    <m/>
    <m/>
    <m/>
    <m/>
    <m/>
    <m/>
    <m/>
    <m/>
    <n v="0"/>
  </r>
  <r>
    <x v="9"/>
    <s v="Hatalı Malzeme Sebebiyle Bekleme"/>
    <s v="Kaynaklı İmalat"/>
    <m/>
    <m/>
    <m/>
    <m/>
    <m/>
    <m/>
    <m/>
    <m/>
    <m/>
    <m/>
    <m/>
    <m/>
    <n v="0"/>
  </r>
  <r>
    <x v="9"/>
    <s v="Hatalı Malzeme Sebebiyle Bekleme"/>
    <s v="Tesisathane"/>
    <m/>
    <m/>
    <m/>
    <m/>
    <m/>
    <m/>
    <m/>
    <m/>
    <m/>
    <m/>
    <m/>
    <m/>
    <n v="0"/>
  </r>
  <r>
    <x v="9"/>
    <s v="Hatalı Malzeme Sebebiyle Bekleme"/>
    <s v="Silindirhane"/>
    <m/>
    <m/>
    <m/>
    <m/>
    <m/>
    <m/>
    <m/>
    <m/>
    <m/>
    <m/>
    <m/>
    <m/>
    <n v="0"/>
  </r>
  <r>
    <x v="9"/>
    <s v="Hatalı Malzeme Sebebiyle Bekleme"/>
    <s v="Montaj"/>
    <m/>
    <m/>
    <m/>
    <m/>
    <m/>
    <m/>
    <m/>
    <m/>
    <m/>
    <m/>
    <m/>
    <m/>
    <n v="0"/>
  </r>
  <r>
    <x v="9"/>
    <s v="Hatalı Malzeme Sebebiyle Bekleme"/>
    <s v="Boyahane"/>
    <m/>
    <m/>
    <m/>
    <m/>
    <m/>
    <m/>
    <m/>
    <m/>
    <m/>
    <m/>
    <m/>
    <m/>
    <n v="0"/>
  </r>
  <r>
    <x v="9"/>
    <s v="Hatalı Malzeme Sebebiyle Bekleme"/>
    <s v="Isıl İşlem"/>
    <m/>
    <m/>
    <m/>
    <m/>
    <m/>
    <m/>
    <m/>
    <m/>
    <m/>
    <m/>
    <m/>
    <m/>
    <n v="0"/>
  </r>
  <r>
    <x v="9"/>
    <s v="Hatalı Malzeme Sebebiyle Bekleme"/>
    <s v="Mangan Fosfat"/>
    <m/>
    <m/>
    <m/>
    <m/>
    <m/>
    <m/>
    <m/>
    <m/>
    <m/>
    <m/>
    <m/>
    <m/>
    <n v="0"/>
  </r>
  <r>
    <x v="9"/>
    <s v="Hatalı Malzeme Sebebiyle Bekleme"/>
    <s v="Lojistik / Üretim Planlama"/>
    <m/>
    <m/>
    <m/>
    <m/>
    <m/>
    <m/>
    <m/>
    <m/>
    <m/>
    <m/>
    <m/>
    <m/>
    <n v="0"/>
  </r>
  <r>
    <x v="9"/>
    <s v="Hatalı Malzeme Sebebiyle Bekleme"/>
    <s v="Kalite"/>
    <m/>
    <m/>
    <m/>
    <m/>
    <m/>
    <m/>
    <m/>
    <m/>
    <m/>
    <m/>
    <m/>
    <m/>
    <n v="0"/>
  </r>
  <r>
    <x v="9"/>
    <s v="Hatalı Malzeme Sebebiyle Bekleme"/>
    <s v="Kalıp - Aparat"/>
    <m/>
    <m/>
    <m/>
    <m/>
    <m/>
    <m/>
    <m/>
    <m/>
    <m/>
    <m/>
    <m/>
    <m/>
    <n v="0"/>
  </r>
  <r>
    <x v="9"/>
    <s v="Hatalı Malzeme Sebebiyle Bekleme"/>
    <s v="Mühendislik"/>
    <m/>
    <m/>
    <m/>
    <m/>
    <m/>
    <m/>
    <m/>
    <m/>
    <m/>
    <m/>
    <m/>
    <m/>
    <n v="0"/>
  </r>
  <r>
    <x v="9"/>
    <s v="Hatalı Malzeme Sebebiyle Bekleme"/>
    <s v="Satış Pazarlama"/>
    <m/>
    <m/>
    <m/>
    <m/>
    <m/>
    <m/>
    <m/>
    <m/>
    <m/>
    <m/>
    <m/>
    <m/>
    <n v="0"/>
  </r>
  <r>
    <x v="9"/>
    <s v="Hatalı Malzeme Sebebiyle Bekleme"/>
    <s v="Diğer (Belirtiniz)"/>
    <m/>
    <m/>
    <m/>
    <m/>
    <m/>
    <m/>
    <m/>
    <m/>
    <m/>
    <m/>
    <m/>
    <m/>
    <n v="0"/>
  </r>
  <r>
    <x v="9"/>
    <s v="Malzeme Gelmediği İçin Bekleme"/>
    <s v="Kesim - Büküm"/>
    <m/>
    <m/>
    <m/>
    <m/>
    <m/>
    <m/>
    <m/>
    <m/>
    <m/>
    <m/>
    <m/>
    <m/>
    <n v="0"/>
  </r>
  <r>
    <x v="9"/>
    <s v="Malzeme Gelmediği İçin Bekleme"/>
    <s v="Talaşlı İmalat"/>
    <n v="12160"/>
    <n v="4580"/>
    <n v="4735"/>
    <m/>
    <n v="1240"/>
    <m/>
    <m/>
    <m/>
    <m/>
    <m/>
    <m/>
    <m/>
    <n v="22715"/>
  </r>
  <r>
    <x v="9"/>
    <s v="Malzeme Gelmediği İçin Bekleme"/>
    <s v="Kaynaklı İmalat"/>
    <m/>
    <m/>
    <m/>
    <n v="4530"/>
    <m/>
    <m/>
    <m/>
    <m/>
    <m/>
    <m/>
    <m/>
    <m/>
    <n v="4530"/>
  </r>
  <r>
    <x v="9"/>
    <s v="Malzeme Gelmediği İçin Bekleme"/>
    <s v="Tesisathane"/>
    <m/>
    <m/>
    <m/>
    <m/>
    <m/>
    <m/>
    <m/>
    <m/>
    <m/>
    <m/>
    <m/>
    <m/>
    <n v="0"/>
  </r>
  <r>
    <x v="9"/>
    <s v="Malzeme Gelmediği İçin Bekleme"/>
    <s v="Silindirhane"/>
    <m/>
    <m/>
    <m/>
    <m/>
    <m/>
    <m/>
    <m/>
    <m/>
    <m/>
    <m/>
    <m/>
    <m/>
    <n v="0"/>
  </r>
  <r>
    <x v="9"/>
    <s v="Malzeme Gelmediği İçin Bekleme"/>
    <s v="Montaj"/>
    <m/>
    <m/>
    <m/>
    <m/>
    <m/>
    <m/>
    <m/>
    <m/>
    <m/>
    <m/>
    <m/>
    <m/>
    <n v="0"/>
  </r>
  <r>
    <x v="9"/>
    <s v="Malzeme Gelmediği İçin Bekleme"/>
    <s v="Boyahane"/>
    <m/>
    <m/>
    <m/>
    <m/>
    <m/>
    <m/>
    <m/>
    <m/>
    <m/>
    <m/>
    <m/>
    <m/>
    <n v="0"/>
  </r>
  <r>
    <x v="9"/>
    <s v="Malzeme Gelmediği İçin Bekleme"/>
    <s v="Isıl İşlem"/>
    <m/>
    <m/>
    <m/>
    <m/>
    <m/>
    <m/>
    <m/>
    <m/>
    <m/>
    <m/>
    <m/>
    <m/>
    <n v="0"/>
  </r>
  <r>
    <x v="9"/>
    <s v="Malzeme Gelmediği İçin Bekleme"/>
    <s v="Mangan Fosfat"/>
    <m/>
    <m/>
    <m/>
    <m/>
    <m/>
    <m/>
    <m/>
    <m/>
    <m/>
    <m/>
    <m/>
    <m/>
    <n v="0"/>
  </r>
  <r>
    <x v="9"/>
    <s v="Malzeme Gelmediği İçin Bekleme"/>
    <s v="Lojistik / Üretim Planlama"/>
    <m/>
    <m/>
    <m/>
    <m/>
    <m/>
    <m/>
    <m/>
    <m/>
    <m/>
    <m/>
    <m/>
    <m/>
    <n v="0"/>
  </r>
  <r>
    <x v="9"/>
    <s v="Malzeme Gelmediği İçin Bekleme"/>
    <s v="Kalite"/>
    <m/>
    <m/>
    <m/>
    <m/>
    <m/>
    <m/>
    <m/>
    <m/>
    <m/>
    <m/>
    <m/>
    <m/>
    <n v="0"/>
  </r>
  <r>
    <x v="9"/>
    <s v="Malzeme Gelmediği İçin Bekleme"/>
    <s v="Kalıp - Aparat"/>
    <m/>
    <m/>
    <m/>
    <m/>
    <m/>
    <m/>
    <m/>
    <m/>
    <m/>
    <m/>
    <m/>
    <m/>
    <n v="0"/>
  </r>
  <r>
    <x v="9"/>
    <s v="Malzeme Gelmediği İçin Bekleme"/>
    <s v="Mühendislik"/>
    <m/>
    <m/>
    <m/>
    <m/>
    <m/>
    <m/>
    <m/>
    <m/>
    <m/>
    <m/>
    <m/>
    <m/>
    <n v="0"/>
  </r>
  <r>
    <x v="9"/>
    <s v="Malzeme Gelmediği İçin Bekleme"/>
    <s v="Satış Pazarlama"/>
    <m/>
    <m/>
    <m/>
    <m/>
    <m/>
    <m/>
    <m/>
    <m/>
    <m/>
    <m/>
    <m/>
    <m/>
    <n v="0"/>
  </r>
  <r>
    <x v="9"/>
    <s v="Malzeme Gelmediği İçin Bekleme"/>
    <s v="Diğer (Belirtiniz)"/>
    <m/>
    <n v="600"/>
    <n v="2000"/>
    <m/>
    <m/>
    <m/>
    <m/>
    <m/>
    <n v="1740"/>
    <m/>
    <m/>
    <m/>
    <n v="4340"/>
  </r>
  <r>
    <x v="9"/>
    <s v="Ayar Kaybı"/>
    <m/>
    <m/>
    <m/>
    <m/>
    <n v="2070"/>
    <n v="4610"/>
    <m/>
    <m/>
    <m/>
    <n v="435"/>
    <m/>
    <m/>
    <m/>
    <n v="7115"/>
  </r>
  <r>
    <x v="9"/>
    <s v="Tesis / Tezgah Arızası / Elektrik Kesintisi"/>
    <m/>
    <m/>
    <m/>
    <m/>
    <m/>
    <m/>
    <m/>
    <m/>
    <m/>
    <m/>
    <m/>
    <m/>
    <m/>
    <n v="0"/>
  </r>
  <r>
    <x v="9"/>
    <s v="Kalıp / Takım / Ekipman Arızası"/>
    <m/>
    <m/>
    <m/>
    <m/>
    <n v="400"/>
    <m/>
    <m/>
    <m/>
    <m/>
    <m/>
    <m/>
    <m/>
    <m/>
    <n v="400"/>
  </r>
  <r>
    <x v="9"/>
    <s v="Tezgah / Tesis Temizlik Bakım"/>
    <m/>
    <m/>
    <m/>
    <n v="750"/>
    <m/>
    <m/>
    <m/>
    <m/>
    <m/>
    <n v="1825"/>
    <m/>
    <m/>
    <m/>
    <n v="2575"/>
  </r>
  <r>
    <x v="9"/>
    <s v="Muayene Sonucu Bekleme"/>
    <m/>
    <m/>
    <m/>
    <m/>
    <m/>
    <m/>
    <m/>
    <m/>
    <m/>
    <m/>
    <m/>
    <m/>
    <m/>
    <n v="0"/>
  </r>
  <r>
    <x v="9"/>
    <s v="Standart Dışı Takım/Kalıp ile Çalışma"/>
    <m/>
    <m/>
    <m/>
    <m/>
    <m/>
    <m/>
    <m/>
    <m/>
    <m/>
    <m/>
    <m/>
    <m/>
    <m/>
    <n v="0"/>
  </r>
  <r>
    <x v="9"/>
    <s v="Tezgah Rejime Sokma Zamanı"/>
    <m/>
    <m/>
    <m/>
    <m/>
    <m/>
    <m/>
    <m/>
    <m/>
    <m/>
    <m/>
    <m/>
    <m/>
    <m/>
    <n v="0"/>
  </r>
  <r>
    <x v="9"/>
    <s v="Takım Hazırlama Zamanı"/>
    <m/>
    <m/>
    <m/>
    <m/>
    <m/>
    <m/>
    <m/>
    <m/>
    <m/>
    <m/>
    <m/>
    <m/>
    <m/>
    <n v="0"/>
  </r>
  <r>
    <x v="9"/>
    <s v="Tecrübe / Ön Seri Çalışması"/>
    <m/>
    <m/>
    <m/>
    <m/>
    <m/>
    <m/>
    <m/>
    <m/>
    <m/>
    <m/>
    <m/>
    <m/>
    <m/>
    <n v="0"/>
  </r>
  <r>
    <x v="9"/>
    <s v="Önceki İstasyonu Bekleme (Montaj)"/>
    <m/>
    <m/>
    <m/>
    <m/>
    <m/>
    <m/>
    <m/>
    <m/>
    <m/>
    <m/>
    <m/>
    <m/>
    <m/>
    <n v="0"/>
  </r>
  <r>
    <x v="9"/>
    <s v="Eksik Parça Tamamlama"/>
    <m/>
    <m/>
    <m/>
    <m/>
    <m/>
    <m/>
    <m/>
    <m/>
    <m/>
    <m/>
    <m/>
    <m/>
    <m/>
    <n v="0"/>
  </r>
  <r>
    <x v="9"/>
    <s v="Vinç Bekleme"/>
    <m/>
    <m/>
    <m/>
    <m/>
    <m/>
    <m/>
    <m/>
    <m/>
    <m/>
    <n v="60"/>
    <m/>
    <m/>
    <m/>
    <n v="60"/>
  </r>
  <r>
    <x v="9"/>
    <s v="Forklift Bekleme"/>
    <m/>
    <m/>
    <m/>
    <m/>
    <m/>
    <m/>
    <m/>
    <m/>
    <m/>
    <m/>
    <m/>
    <m/>
    <m/>
    <n v="0"/>
  </r>
  <r>
    <x v="9"/>
    <s v="Kaizen Çalışmaları"/>
    <m/>
    <m/>
    <m/>
    <m/>
    <m/>
    <m/>
    <m/>
    <m/>
    <m/>
    <m/>
    <m/>
    <m/>
    <m/>
    <n v="0"/>
  </r>
  <r>
    <x v="9"/>
    <s v="5S Çalışmaları"/>
    <m/>
    <m/>
    <m/>
    <m/>
    <m/>
    <m/>
    <m/>
    <m/>
    <m/>
    <m/>
    <m/>
    <m/>
    <m/>
    <n v="0"/>
  </r>
  <r>
    <x v="9"/>
    <s v="Toplantı / Görüşme"/>
    <m/>
    <m/>
    <n v="30240"/>
    <n v="40590"/>
    <m/>
    <m/>
    <m/>
    <m/>
    <m/>
    <m/>
    <m/>
    <m/>
    <m/>
    <n v="70830"/>
  </r>
  <r>
    <x v="9"/>
    <s v="Eğitim"/>
    <m/>
    <m/>
    <m/>
    <n v="150"/>
    <n v="40020"/>
    <n v="18320"/>
    <m/>
    <m/>
    <m/>
    <m/>
    <m/>
    <m/>
    <m/>
    <n v="58490"/>
  </r>
  <r>
    <x v="9"/>
    <s v="Görevli"/>
    <m/>
    <m/>
    <m/>
    <m/>
    <m/>
    <m/>
    <m/>
    <m/>
    <m/>
    <m/>
    <m/>
    <m/>
    <m/>
    <n v="0"/>
  </r>
  <r>
    <x v="9"/>
    <s v="İş Verilemedi"/>
    <m/>
    <m/>
    <n v="3900"/>
    <m/>
    <m/>
    <m/>
    <m/>
    <m/>
    <m/>
    <m/>
    <m/>
    <m/>
    <m/>
    <n v="3900"/>
  </r>
  <r>
    <x v="9"/>
    <s v="Revir "/>
    <m/>
    <m/>
    <m/>
    <m/>
    <m/>
    <m/>
    <m/>
    <m/>
    <m/>
    <m/>
    <m/>
    <m/>
    <m/>
    <n v="0"/>
  </r>
  <r>
    <x v="10"/>
    <s v="Hatalı Malzeme Sebebiyle Bekleme"/>
    <s v="Kesim - Büküm"/>
    <m/>
    <m/>
    <m/>
    <m/>
    <m/>
    <m/>
    <m/>
    <m/>
    <m/>
    <m/>
    <m/>
    <m/>
    <n v="0"/>
  </r>
  <r>
    <x v="10"/>
    <s v="Hatalı Malzeme Sebebiyle Bekleme"/>
    <s v="Talaşlı İmalat"/>
    <m/>
    <m/>
    <m/>
    <m/>
    <m/>
    <m/>
    <m/>
    <m/>
    <m/>
    <m/>
    <m/>
    <m/>
    <n v="0"/>
  </r>
  <r>
    <x v="10"/>
    <s v="Hatalı Malzeme Sebebiyle Bekleme"/>
    <s v="Kaynaklı İmalat"/>
    <m/>
    <m/>
    <m/>
    <n v="350"/>
    <m/>
    <m/>
    <n v="1930"/>
    <m/>
    <m/>
    <m/>
    <m/>
    <m/>
    <n v="2280"/>
  </r>
  <r>
    <x v="10"/>
    <s v="Hatalı Malzeme Sebebiyle Bekleme"/>
    <s v="Tesisathane"/>
    <m/>
    <m/>
    <m/>
    <m/>
    <m/>
    <m/>
    <m/>
    <m/>
    <m/>
    <m/>
    <m/>
    <m/>
    <n v="0"/>
  </r>
  <r>
    <x v="10"/>
    <s v="Hatalı Malzeme Sebebiyle Bekleme"/>
    <s v="Silindirhane"/>
    <m/>
    <m/>
    <m/>
    <m/>
    <m/>
    <m/>
    <m/>
    <m/>
    <m/>
    <m/>
    <m/>
    <m/>
    <n v="0"/>
  </r>
  <r>
    <x v="10"/>
    <s v="Hatalı Malzeme Sebebiyle Bekleme"/>
    <s v="Montaj"/>
    <m/>
    <m/>
    <m/>
    <m/>
    <m/>
    <m/>
    <m/>
    <m/>
    <m/>
    <m/>
    <m/>
    <m/>
    <n v="0"/>
  </r>
  <r>
    <x v="10"/>
    <s v="Hatalı Malzeme Sebebiyle Bekleme"/>
    <s v="Boyahane"/>
    <m/>
    <m/>
    <m/>
    <m/>
    <m/>
    <m/>
    <m/>
    <m/>
    <m/>
    <m/>
    <m/>
    <m/>
    <n v="0"/>
  </r>
  <r>
    <x v="10"/>
    <s v="Hatalı Malzeme Sebebiyle Bekleme"/>
    <s v="Isıl İşlem"/>
    <m/>
    <m/>
    <m/>
    <m/>
    <m/>
    <m/>
    <m/>
    <m/>
    <m/>
    <m/>
    <m/>
    <m/>
    <n v="0"/>
  </r>
  <r>
    <x v="10"/>
    <s v="Hatalı Malzeme Sebebiyle Bekleme"/>
    <s v="Mangan Fosfat"/>
    <m/>
    <m/>
    <m/>
    <m/>
    <m/>
    <m/>
    <m/>
    <m/>
    <m/>
    <m/>
    <m/>
    <m/>
    <n v="0"/>
  </r>
  <r>
    <x v="10"/>
    <s v="Hatalı Malzeme Sebebiyle Bekleme"/>
    <s v="Lojistik / Üretim Planlama"/>
    <m/>
    <m/>
    <m/>
    <m/>
    <m/>
    <m/>
    <m/>
    <m/>
    <m/>
    <m/>
    <m/>
    <m/>
    <n v="0"/>
  </r>
  <r>
    <x v="10"/>
    <s v="Hatalı Malzeme Sebebiyle Bekleme"/>
    <s v="Kalite"/>
    <m/>
    <m/>
    <m/>
    <m/>
    <m/>
    <m/>
    <m/>
    <m/>
    <m/>
    <m/>
    <m/>
    <m/>
    <n v="0"/>
  </r>
  <r>
    <x v="10"/>
    <s v="Hatalı Malzeme Sebebiyle Bekleme"/>
    <s v="Kalıp - Aparat"/>
    <m/>
    <m/>
    <m/>
    <m/>
    <m/>
    <m/>
    <m/>
    <m/>
    <m/>
    <m/>
    <m/>
    <m/>
    <n v="0"/>
  </r>
  <r>
    <x v="10"/>
    <s v="Hatalı Malzeme Sebebiyle Bekleme"/>
    <s v="Mühendislik"/>
    <m/>
    <m/>
    <m/>
    <m/>
    <m/>
    <m/>
    <m/>
    <m/>
    <m/>
    <m/>
    <m/>
    <m/>
    <n v="0"/>
  </r>
  <r>
    <x v="10"/>
    <s v="Hatalı Malzeme Sebebiyle Bekleme"/>
    <s v="Satış Pazarlama"/>
    <m/>
    <m/>
    <m/>
    <m/>
    <m/>
    <m/>
    <m/>
    <m/>
    <m/>
    <m/>
    <m/>
    <m/>
    <n v="0"/>
  </r>
  <r>
    <x v="10"/>
    <s v="Hatalı Malzeme Sebebiyle Bekleme"/>
    <s v="Diğer (Belirtiniz)"/>
    <m/>
    <m/>
    <m/>
    <m/>
    <m/>
    <m/>
    <m/>
    <m/>
    <n v="180"/>
    <m/>
    <m/>
    <m/>
    <n v="180"/>
  </r>
  <r>
    <x v="10"/>
    <s v="Malzeme Gelmediği İçin Bekleme"/>
    <s v="Kesim - Büküm"/>
    <m/>
    <m/>
    <m/>
    <m/>
    <m/>
    <m/>
    <m/>
    <m/>
    <m/>
    <m/>
    <m/>
    <m/>
    <n v="0"/>
  </r>
  <r>
    <x v="10"/>
    <s v="Malzeme Gelmediği İçin Bekleme"/>
    <s v="Talaşlı İmalat"/>
    <m/>
    <m/>
    <m/>
    <m/>
    <m/>
    <m/>
    <m/>
    <m/>
    <m/>
    <m/>
    <m/>
    <m/>
    <n v="0"/>
  </r>
  <r>
    <x v="10"/>
    <s v="Malzeme Gelmediği İçin Bekleme"/>
    <s v="Kaynaklı İmalat"/>
    <m/>
    <m/>
    <m/>
    <m/>
    <m/>
    <m/>
    <m/>
    <m/>
    <m/>
    <m/>
    <m/>
    <m/>
    <n v="0"/>
  </r>
  <r>
    <x v="10"/>
    <s v="Malzeme Gelmediği İçin Bekleme"/>
    <s v="Tesisathane"/>
    <m/>
    <m/>
    <m/>
    <m/>
    <m/>
    <m/>
    <m/>
    <m/>
    <m/>
    <m/>
    <m/>
    <m/>
    <n v="0"/>
  </r>
  <r>
    <x v="10"/>
    <s v="Malzeme Gelmediği İçin Bekleme"/>
    <s v="Silindirhane"/>
    <m/>
    <m/>
    <m/>
    <m/>
    <m/>
    <m/>
    <m/>
    <m/>
    <m/>
    <m/>
    <m/>
    <m/>
    <n v="0"/>
  </r>
  <r>
    <x v="10"/>
    <s v="Malzeme Gelmediği İçin Bekleme"/>
    <s v="Montaj"/>
    <m/>
    <m/>
    <m/>
    <m/>
    <m/>
    <m/>
    <m/>
    <m/>
    <m/>
    <m/>
    <m/>
    <m/>
    <n v="0"/>
  </r>
  <r>
    <x v="10"/>
    <s v="Malzeme Gelmediği İçin Bekleme"/>
    <s v="Boyahane"/>
    <m/>
    <m/>
    <m/>
    <m/>
    <m/>
    <m/>
    <m/>
    <m/>
    <m/>
    <m/>
    <m/>
    <m/>
    <n v="0"/>
  </r>
  <r>
    <x v="10"/>
    <s v="Malzeme Gelmediği İçin Bekleme"/>
    <s v="Isıl İşlem"/>
    <m/>
    <m/>
    <m/>
    <m/>
    <m/>
    <m/>
    <m/>
    <m/>
    <m/>
    <m/>
    <m/>
    <m/>
    <n v="0"/>
  </r>
  <r>
    <x v="10"/>
    <s v="Malzeme Gelmediği İçin Bekleme"/>
    <s v="Mangan Fosfat"/>
    <m/>
    <n v="800"/>
    <m/>
    <m/>
    <m/>
    <m/>
    <m/>
    <m/>
    <m/>
    <m/>
    <m/>
    <m/>
    <n v="800"/>
  </r>
  <r>
    <x v="10"/>
    <s v="Malzeme Gelmediği İçin Bekleme"/>
    <s v="Lojistik / Üretim Planlama"/>
    <m/>
    <m/>
    <m/>
    <m/>
    <m/>
    <m/>
    <m/>
    <m/>
    <m/>
    <m/>
    <m/>
    <m/>
    <n v="0"/>
  </r>
  <r>
    <x v="10"/>
    <s v="Malzeme Gelmediği İçin Bekleme"/>
    <s v="Kalite"/>
    <m/>
    <m/>
    <m/>
    <m/>
    <m/>
    <m/>
    <m/>
    <m/>
    <m/>
    <m/>
    <m/>
    <m/>
    <n v="0"/>
  </r>
  <r>
    <x v="10"/>
    <s v="Malzeme Gelmediği İçin Bekleme"/>
    <s v="Kalıp - Aparat"/>
    <m/>
    <m/>
    <m/>
    <m/>
    <m/>
    <m/>
    <m/>
    <m/>
    <m/>
    <m/>
    <m/>
    <m/>
    <n v="0"/>
  </r>
  <r>
    <x v="10"/>
    <s v="Malzeme Gelmediği İçin Bekleme"/>
    <s v="Mühendislik"/>
    <m/>
    <m/>
    <m/>
    <m/>
    <m/>
    <m/>
    <m/>
    <m/>
    <m/>
    <m/>
    <m/>
    <m/>
    <n v="0"/>
  </r>
  <r>
    <x v="10"/>
    <s v="Malzeme Gelmediği İçin Bekleme"/>
    <s v="Satış Pazarlama"/>
    <m/>
    <m/>
    <m/>
    <m/>
    <m/>
    <m/>
    <m/>
    <m/>
    <m/>
    <m/>
    <m/>
    <m/>
    <n v="0"/>
  </r>
  <r>
    <x v="10"/>
    <s v="Malzeme Gelmediği İçin Bekleme"/>
    <s v="Diğer (Belirtiniz)"/>
    <m/>
    <m/>
    <m/>
    <m/>
    <m/>
    <m/>
    <m/>
    <m/>
    <m/>
    <m/>
    <m/>
    <m/>
    <n v="0"/>
  </r>
  <r>
    <x v="10"/>
    <s v="Ayar Kaybı"/>
    <m/>
    <m/>
    <m/>
    <m/>
    <m/>
    <m/>
    <m/>
    <m/>
    <m/>
    <m/>
    <m/>
    <m/>
    <m/>
    <n v="0"/>
  </r>
  <r>
    <x v="10"/>
    <s v="Tesis / Tezgah Arızası / Elektrik Kesintisi"/>
    <m/>
    <m/>
    <m/>
    <m/>
    <m/>
    <m/>
    <m/>
    <m/>
    <m/>
    <m/>
    <m/>
    <m/>
    <m/>
    <n v="0"/>
  </r>
  <r>
    <x v="10"/>
    <s v="Kalıp / Takım / Ekipman Arızası"/>
    <m/>
    <n v="8890"/>
    <n v="5010"/>
    <n v="240"/>
    <m/>
    <m/>
    <m/>
    <m/>
    <m/>
    <m/>
    <m/>
    <m/>
    <m/>
    <n v="14140"/>
  </r>
  <r>
    <x v="10"/>
    <s v="Tezgah / Tesis Temizlik Bakım"/>
    <m/>
    <m/>
    <m/>
    <m/>
    <n v="5790"/>
    <n v="7500"/>
    <n v="10470"/>
    <n v="7000"/>
    <m/>
    <n v="9680"/>
    <m/>
    <m/>
    <m/>
    <n v="40440"/>
  </r>
  <r>
    <x v="10"/>
    <s v="Muayene Sonucu Bekleme"/>
    <m/>
    <m/>
    <m/>
    <m/>
    <m/>
    <m/>
    <m/>
    <m/>
    <m/>
    <m/>
    <m/>
    <m/>
    <m/>
    <n v="0"/>
  </r>
  <r>
    <x v="10"/>
    <s v="Standart Dışı Takım/Kalıp ile Çalışma"/>
    <m/>
    <m/>
    <m/>
    <m/>
    <m/>
    <m/>
    <m/>
    <m/>
    <m/>
    <m/>
    <m/>
    <m/>
    <m/>
    <n v="0"/>
  </r>
  <r>
    <x v="10"/>
    <s v="Tezgah Rejime Sokma Zamanı"/>
    <m/>
    <n v="370"/>
    <n v="8760"/>
    <n v="435"/>
    <m/>
    <m/>
    <m/>
    <m/>
    <m/>
    <m/>
    <m/>
    <m/>
    <m/>
    <n v="9565"/>
  </r>
  <r>
    <x v="10"/>
    <s v="Takım Hazırlama Zamanı"/>
    <m/>
    <m/>
    <m/>
    <m/>
    <n v="8305"/>
    <n v="8300"/>
    <n v="11860"/>
    <m/>
    <m/>
    <n v="865"/>
    <m/>
    <m/>
    <m/>
    <n v="29330"/>
  </r>
  <r>
    <x v="10"/>
    <s v="Tecrübe / Ön Seri Çalışması"/>
    <m/>
    <m/>
    <m/>
    <m/>
    <m/>
    <m/>
    <m/>
    <m/>
    <m/>
    <m/>
    <m/>
    <m/>
    <m/>
    <n v="0"/>
  </r>
  <r>
    <x v="10"/>
    <s v="Önceki İstasyonu Bekleme (Montaj)"/>
    <m/>
    <m/>
    <m/>
    <m/>
    <m/>
    <m/>
    <m/>
    <m/>
    <m/>
    <m/>
    <m/>
    <m/>
    <m/>
    <n v="0"/>
  </r>
  <r>
    <x v="10"/>
    <s v="Eksik Parça Tamamlama"/>
    <m/>
    <m/>
    <m/>
    <m/>
    <m/>
    <m/>
    <m/>
    <m/>
    <m/>
    <m/>
    <m/>
    <m/>
    <m/>
    <n v="0"/>
  </r>
  <r>
    <x v="10"/>
    <s v="Vinç Bekleme"/>
    <m/>
    <m/>
    <m/>
    <n v="60"/>
    <m/>
    <m/>
    <m/>
    <m/>
    <m/>
    <m/>
    <m/>
    <m/>
    <m/>
    <n v="60"/>
  </r>
  <r>
    <x v="10"/>
    <s v="Forklift Bekleme"/>
    <m/>
    <m/>
    <m/>
    <m/>
    <n v="80"/>
    <m/>
    <m/>
    <m/>
    <m/>
    <m/>
    <m/>
    <m/>
    <m/>
    <n v="80"/>
  </r>
  <r>
    <x v="10"/>
    <s v="Kaizen Çalışmaları"/>
    <m/>
    <m/>
    <m/>
    <m/>
    <m/>
    <m/>
    <m/>
    <m/>
    <m/>
    <m/>
    <m/>
    <m/>
    <m/>
    <n v="0"/>
  </r>
  <r>
    <x v="10"/>
    <s v="5S Çalışmaları"/>
    <m/>
    <m/>
    <m/>
    <m/>
    <m/>
    <m/>
    <m/>
    <m/>
    <m/>
    <m/>
    <m/>
    <m/>
    <m/>
    <n v="0"/>
  </r>
  <r>
    <x v="10"/>
    <s v="Toplantı / Görüşme"/>
    <m/>
    <m/>
    <m/>
    <m/>
    <m/>
    <m/>
    <m/>
    <m/>
    <m/>
    <m/>
    <m/>
    <m/>
    <m/>
    <n v="0"/>
  </r>
  <r>
    <x v="10"/>
    <s v="Eğitim"/>
    <m/>
    <m/>
    <m/>
    <m/>
    <m/>
    <m/>
    <m/>
    <n v="1080"/>
    <m/>
    <m/>
    <m/>
    <m/>
    <m/>
    <n v="1080"/>
  </r>
  <r>
    <x v="10"/>
    <s v="Görevli"/>
    <m/>
    <m/>
    <m/>
    <m/>
    <m/>
    <m/>
    <m/>
    <m/>
    <m/>
    <n v="745"/>
    <m/>
    <m/>
    <m/>
    <n v="745"/>
  </r>
  <r>
    <x v="10"/>
    <s v="İş Verilemedi"/>
    <m/>
    <m/>
    <m/>
    <m/>
    <m/>
    <m/>
    <m/>
    <m/>
    <m/>
    <m/>
    <m/>
    <m/>
    <m/>
    <n v="0"/>
  </r>
  <r>
    <x v="10"/>
    <s v="Revir "/>
    <m/>
    <m/>
    <m/>
    <m/>
    <m/>
    <m/>
    <m/>
    <m/>
    <m/>
    <m/>
    <m/>
    <m/>
    <m/>
    <n v="0"/>
  </r>
  <r>
    <x v="11"/>
    <s v="Hatalı Malzeme Sebebiyle Bekleme"/>
    <s v="Kesim - Büküm"/>
    <m/>
    <m/>
    <m/>
    <m/>
    <m/>
    <m/>
    <m/>
    <m/>
    <m/>
    <m/>
    <m/>
    <m/>
    <n v="0"/>
  </r>
  <r>
    <x v="11"/>
    <s v="Hatalı Malzeme Sebebiyle Bekleme"/>
    <s v="Talaşlı İmalat"/>
    <m/>
    <m/>
    <m/>
    <m/>
    <m/>
    <m/>
    <m/>
    <m/>
    <m/>
    <m/>
    <m/>
    <m/>
    <n v="0"/>
  </r>
  <r>
    <x v="11"/>
    <s v="Hatalı Malzeme Sebebiyle Bekleme"/>
    <s v="Kaynaklı İmalat"/>
    <m/>
    <m/>
    <m/>
    <m/>
    <m/>
    <m/>
    <m/>
    <m/>
    <m/>
    <m/>
    <m/>
    <m/>
    <n v="0"/>
  </r>
  <r>
    <x v="11"/>
    <s v="Hatalı Malzeme Sebebiyle Bekleme"/>
    <s v="Tesisathane"/>
    <m/>
    <m/>
    <m/>
    <m/>
    <m/>
    <m/>
    <m/>
    <m/>
    <m/>
    <m/>
    <m/>
    <m/>
    <n v="0"/>
  </r>
  <r>
    <x v="11"/>
    <s v="Hatalı Malzeme Sebebiyle Bekleme"/>
    <s v="Silindirhane"/>
    <m/>
    <m/>
    <m/>
    <m/>
    <m/>
    <m/>
    <m/>
    <m/>
    <m/>
    <m/>
    <m/>
    <m/>
    <n v="0"/>
  </r>
  <r>
    <x v="11"/>
    <s v="Hatalı Malzeme Sebebiyle Bekleme"/>
    <s v="Montaj"/>
    <m/>
    <m/>
    <m/>
    <m/>
    <m/>
    <m/>
    <m/>
    <m/>
    <m/>
    <m/>
    <m/>
    <m/>
    <n v="0"/>
  </r>
  <r>
    <x v="11"/>
    <s v="Hatalı Malzeme Sebebiyle Bekleme"/>
    <s v="Boyahane"/>
    <m/>
    <m/>
    <m/>
    <m/>
    <m/>
    <m/>
    <m/>
    <m/>
    <m/>
    <m/>
    <m/>
    <m/>
    <n v="0"/>
  </r>
  <r>
    <x v="11"/>
    <s v="Hatalı Malzeme Sebebiyle Bekleme"/>
    <s v="Isıl İşlem"/>
    <m/>
    <m/>
    <m/>
    <m/>
    <m/>
    <m/>
    <m/>
    <m/>
    <m/>
    <m/>
    <m/>
    <m/>
    <n v="0"/>
  </r>
  <r>
    <x v="11"/>
    <s v="Hatalı Malzeme Sebebiyle Bekleme"/>
    <s v="Mangan Fosfat"/>
    <m/>
    <m/>
    <m/>
    <m/>
    <m/>
    <m/>
    <m/>
    <m/>
    <m/>
    <m/>
    <m/>
    <m/>
    <n v="0"/>
  </r>
  <r>
    <x v="11"/>
    <s v="Hatalı Malzeme Sebebiyle Bekleme"/>
    <s v="Lojistik / Üretim Planlama"/>
    <m/>
    <m/>
    <m/>
    <m/>
    <m/>
    <m/>
    <m/>
    <m/>
    <n v="2750"/>
    <m/>
    <m/>
    <m/>
    <n v="2750"/>
  </r>
  <r>
    <x v="11"/>
    <s v="Hatalı Malzeme Sebebiyle Bekleme"/>
    <s v="Kalite"/>
    <m/>
    <m/>
    <m/>
    <m/>
    <m/>
    <m/>
    <m/>
    <m/>
    <m/>
    <m/>
    <m/>
    <m/>
    <n v="0"/>
  </r>
  <r>
    <x v="11"/>
    <s v="Hatalı Malzeme Sebebiyle Bekleme"/>
    <s v="Kalıp - Aparat"/>
    <m/>
    <m/>
    <m/>
    <m/>
    <m/>
    <m/>
    <m/>
    <m/>
    <m/>
    <m/>
    <m/>
    <m/>
    <n v="0"/>
  </r>
  <r>
    <x v="11"/>
    <s v="Hatalı Malzeme Sebebiyle Bekleme"/>
    <s v="Mühendislik"/>
    <m/>
    <m/>
    <m/>
    <m/>
    <m/>
    <m/>
    <m/>
    <m/>
    <m/>
    <m/>
    <m/>
    <m/>
    <n v="0"/>
  </r>
  <r>
    <x v="11"/>
    <s v="Hatalı Malzeme Sebebiyle Bekleme"/>
    <s v="Satış Pazarlama"/>
    <m/>
    <m/>
    <m/>
    <m/>
    <m/>
    <m/>
    <m/>
    <m/>
    <m/>
    <m/>
    <m/>
    <m/>
    <n v="0"/>
  </r>
  <r>
    <x v="11"/>
    <s v="Hatalı Malzeme Sebebiyle Bekleme"/>
    <s v="Diğer (Belirtiniz)"/>
    <m/>
    <m/>
    <m/>
    <m/>
    <m/>
    <m/>
    <m/>
    <m/>
    <m/>
    <m/>
    <m/>
    <m/>
    <n v="0"/>
  </r>
  <r>
    <x v="11"/>
    <s v="Malzeme Gelmediği İçin Bekleme"/>
    <s v="Kesim - Büküm"/>
    <m/>
    <m/>
    <m/>
    <m/>
    <m/>
    <m/>
    <m/>
    <m/>
    <m/>
    <m/>
    <m/>
    <m/>
    <n v="0"/>
  </r>
  <r>
    <x v="11"/>
    <s v="Malzeme Gelmediği İçin Bekleme"/>
    <s v="Talaşlı İmalat"/>
    <m/>
    <m/>
    <m/>
    <m/>
    <m/>
    <m/>
    <m/>
    <m/>
    <m/>
    <m/>
    <m/>
    <m/>
    <n v="0"/>
  </r>
  <r>
    <x v="11"/>
    <s v="Malzeme Gelmediği İçin Bekleme"/>
    <s v="Kaynaklı İmalat"/>
    <m/>
    <m/>
    <m/>
    <m/>
    <m/>
    <m/>
    <m/>
    <m/>
    <n v="3480"/>
    <m/>
    <m/>
    <m/>
    <n v="3480"/>
  </r>
  <r>
    <x v="11"/>
    <s v="Malzeme Gelmediği İçin Bekleme"/>
    <s v="Tesisathane"/>
    <m/>
    <m/>
    <m/>
    <m/>
    <m/>
    <m/>
    <m/>
    <m/>
    <m/>
    <m/>
    <m/>
    <m/>
    <n v="0"/>
  </r>
  <r>
    <x v="11"/>
    <s v="Malzeme Gelmediği İçin Bekleme"/>
    <s v="Silindirhane"/>
    <m/>
    <m/>
    <m/>
    <m/>
    <m/>
    <m/>
    <m/>
    <m/>
    <m/>
    <m/>
    <m/>
    <m/>
    <n v="0"/>
  </r>
  <r>
    <x v="11"/>
    <s v="Malzeme Gelmediği İçin Bekleme"/>
    <s v="Montaj"/>
    <m/>
    <m/>
    <m/>
    <m/>
    <m/>
    <m/>
    <m/>
    <m/>
    <n v="75"/>
    <m/>
    <m/>
    <m/>
    <n v="75"/>
  </r>
  <r>
    <x v="11"/>
    <s v="Malzeme Gelmediği İçin Bekleme"/>
    <s v="Boyahane"/>
    <m/>
    <m/>
    <m/>
    <m/>
    <m/>
    <m/>
    <m/>
    <m/>
    <m/>
    <m/>
    <m/>
    <m/>
    <n v="0"/>
  </r>
  <r>
    <x v="11"/>
    <s v="Malzeme Gelmediği İçin Bekleme"/>
    <s v="Isıl İşlem"/>
    <m/>
    <m/>
    <m/>
    <m/>
    <m/>
    <m/>
    <m/>
    <m/>
    <m/>
    <m/>
    <m/>
    <m/>
    <n v="0"/>
  </r>
  <r>
    <x v="11"/>
    <s v="Malzeme Gelmediği İçin Bekleme"/>
    <s v="Mangan Fosfat"/>
    <m/>
    <m/>
    <m/>
    <m/>
    <m/>
    <m/>
    <m/>
    <m/>
    <m/>
    <m/>
    <m/>
    <m/>
    <n v="0"/>
  </r>
  <r>
    <x v="11"/>
    <s v="Malzeme Gelmediği İçin Bekleme"/>
    <s v="Lojistik / Üretim Planlama"/>
    <m/>
    <m/>
    <m/>
    <m/>
    <m/>
    <m/>
    <m/>
    <m/>
    <n v="90"/>
    <m/>
    <m/>
    <m/>
    <n v="90"/>
  </r>
  <r>
    <x v="11"/>
    <s v="Malzeme Gelmediği İçin Bekleme"/>
    <s v="Kalite"/>
    <m/>
    <m/>
    <m/>
    <m/>
    <m/>
    <m/>
    <m/>
    <m/>
    <m/>
    <m/>
    <m/>
    <m/>
    <n v="0"/>
  </r>
  <r>
    <x v="11"/>
    <s v="Malzeme Gelmediği İçin Bekleme"/>
    <s v="Kalıp - Aparat"/>
    <m/>
    <m/>
    <m/>
    <m/>
    <m/>
    <m/>
    <m/>
    <m/>
    <m/>
    <m/>
    <m/>
    <m/>
    <n v="0"/>
  </r>
  <r>
    <x v="11"/>
    <s v="Malzeme Gelmediği İçin Bekleme"/>
    <s v="Mühendislik"/>
    <m/>
    <m/>
    <m/>
    <m/>
    <m/>
    <m/>
    <m/>
    <m/>
    <m/>
    <m/>
    <m/>
    <m/>
    <n v="0"/>
  </r>
  <r>
    <x v="11"/>
    <s v="Malzeme Gelmediği İçin Bekleme"/>
    <s v="Satış Pazarlama"/>
    <m/>
    <m/>
    <m/>
    <m/>
    <m/>
    <m/>
    <m/>
    <m/>
    <m/>
    <m/>
    <m/>
    <m/>
    <n v="0"/>
  </r>
  <r>
    <x v="11"/>
    <s v="Malzeme Gelmediği İçin Bekleme"/>
    <s v="Diğer (Belirtiniz)"/>
    <m/>
    <m/>
    <m/>
    <m/>
    <m/>
    <m/>
    <m/>
    <m/>
    <m/>
    <m/>
    <m/>
    <m/>
    <n v="0"/>
  </r>
  <r>
    <x v="11"/>
    <s v="Ayar Kaybı"/>
    <m/>
    <m/>
    <m/>
    <m/>
    <m/>
    <m/>
    <m/>
    <m/>
    <m/>
    <n v="275"/>
    <m/>
    <m/>
    <m/>
    <n v="275"/>
  </r>
  <r>
    <x v="11"/>
    <s v="Tesis / Tezgah Arızası / Elektrik Kesintisi"/>
    <m/>
    <m/>
    <m/>
    <m/>
    <m/>
    <m/>
    <m/>
    <m/>
    <m/>
    <n v="650"/>
    <m/>
    <m/>
    <m/>
    <n v="650"/>
  </r>
  <r>
    <x v="11"/>
    <s v="Kalıp / Takım / Ekipman Arızası"/>
    <m/>
    <n v="25920"/>
    <n v="15120"/>
    <n v="6000"/>
    <m/>
    <m/>
    <m/>
    <m/>
    <m/>
    <n v="65"/>
    <m/>
    <m/>
    <m/>
    <n v="47105"/>
  </r>
  <r>
    <x v="11"/>
    <s v="Tezgah / Tesis Temizlik Bakım"/>
    <m/>
    <m/>
    <m/>
    <m/>
    <m/>
    <n v="6300"/>
    <n v="4950"/>
    <n v="2800"/>
    <n v="1020"/>
    <n v="15130"/>
    <m/>
    <m/>
    <m/>
    <n v="30200"/>
  </r>
  <r>
    <x v="11"/>
    <s v="Muayene Sonucu Bekleme"/>
    <m/>
    <m/>
    <m/>
    <m/>
    <m/>
    <m/>
    <m/>
    <m/>
    <m/>
    <n v="15"/>
    <m/>
    <m/>
    <m/>
    <n v="15"/>
  </r>
  <r>
    <x v="11"/>
    <s v="Standart Dışı Takım/Kalıp ile Çalışma"/>
    <m/>
    <m/>
    <m/>
    <m/>
    <m/>
    <m/>
    <m/>
    <m/>
    <m/>
    <n v="890"/>
    <m/>
    <m/>
    <m/>
    <n v="890"/>
  </r>
  <r>
    <x v="11"/>
    <s v="Tezgah Rejime Sokma Zamanı"/>
    <m/>
    <m/>
    <m/>
    <m/>
    <m/>
    <m/>
    <m/>
    <m/>
    <m/>
    <n v="6180"/>
    <m/>
    <m/>
    <m/>
    <n v="6180"/>
  </r>
  <r>
    <x v="11"/>
    <s v="Takım Hazırlama Zamanı"/>
    <m/>
    <m/>
    <m/>
    <m/>
    <m/>
    <m/>
    <m/>
    <m/>
    <m/>
    <m/>
    <m/>
    <m/>
    <m/>
    <n v="0"/>
  </r>
  <r>
    <x v="11"/>
    <s v="Tecrübe / Ön Seri Çalışması"/>
    <m/>
    <m/>
    <m/>
    <m/>
    <m/>
    <m/>
    <m/>
    <n v="2700"/>
    <m/>
    <m/>
    <m/>
    <m/>
    <m/>
    <n v="2700"/>
  </r>
  <r>
    <x v="11"/>
    <s v="Önceki İstasyonu Bekleme (Montaj)"/>
    <m/>
    <m/>
    <m/>
    <m/>
    <m/>
    <m/>
    <m/>
    <m/>
    <m/>
    <n v="2580"/>
    <m/>
    <m/>
    <m/>
    <n v="2580"/>
  </r>
  <r>
    <x v="11"/>
    <s v="Eksik Parça Tamamlama"/>
    <m/>
    <m/>
    <m/>
    <m/>
    <m/>
    <m/>
    <m/>
    <m/>
    <m/>
    <m/>
    <m/>
    <m/>
    <m/>
    <n v="0"/>
  </r>
  <r>
    <x v="11"/>
    <s v="Vinç Bekleme"/>
    <m/>
    <m/>
    <m/>
    <m/>
    <m/>
    <m/>
    <m/>
    <m/>
    <m/>
    <m/>
    <m/>
    <m/>
    <m/>
    <n v="0"/>
  </r>
  <r>
    <x v="11"/>
    <s v="Forklift Bekleme"/>
    <m/>
    <m/>
    <m/>
    <m/>
    <m/>
    <m/>
    <m/>
    <m/>
    <m/>
    <n v="1030"/>
    <m/>
    <m/>
    <m/>
    <n v="1030"/>
  </r>
  <r>
    <x v="11"/>
    <s v="Kaizen Çalışmaları"/>
    <m/>
    <m/>
    <m/>
    <m/>
    <m/>
    <m/>
    <n v="900"/>
    <m/>
    <n v="1900"/>
    <m/>
    <m/>
    <m/>
    <m/>
    <n v="2800"/>
  </r>
  <r>
    <x v="11"/>
    <s v="5S Çalışmaları"/>
    <m/>
    <m/>
    <m/>
    <m/>
    <m/>
    <n v="1800"/>
    <m/>
    <n v="1620"/>
    <m/>
    <n v="3150"/>
    <m/>
    <m/>
    <m/>
    <n v="6570"/>
  </r>
  <r>
    <x v="11"/>
    <s v="Toplantı / Görüşme"/>
    <m/>
    <m/>
    <m/>
    <m/>
    <m/>
    <m/>
    <m/>
    <m/>
    <m/>
    <n v="3115"/>
    <m/>
    <m/>
    <m/>
    <n v="3115"/>
  </r>
  <r>
    <x v="11"/>
    <s v="Eğitim"/>
    <m/>
    <m/>
    <m/>
    <m/>
    <m/>
    <m/>
    <m/>
    <m/>
    <m/>
    <n v="1420"/>
    <m/>
    <m/>
    <m/>
    <n v="1420"/>
  </r>
  <r>
    <x v="11"/>
    <s v="Görevli"/>
    <m/>
    <m/>
    <m/>
    <m/>
    <m/>
    <n v="1980"/>
    <m/>
    <m/>
    <m/>
    <m/>
    <m/>
    <m/>
    <m/>
    <n v="1980"/>
  </r>
  <r>
    <x v="11"/>
    <s v="İş Verilemedi"/>
    <m/>
    <m/>
    <m/>
    <m/>
    <m/>
    <m/>
    <m/>
    <m/>
    <m/>
    <m/>
    <m/>
    <m/>
    <m/>
    <n v="0"/>
  </r>
  <r>
    <x v="11"/>
    <s v="Revir "/>
    <m/>
    <m/>
    <m/>
    <m/>
    <m/>
    <m/>
    <m/>
    <m/>
    <m/>
    <m/>
    <m/>
    <m/>
    <m/>
    <n v="0"/>
  </r>
  <r>
    <x v="12"/>
    <s v="Hatalı Malzeme Sebebiyle Bekleme"/>
    <s v="Kesim - Büküm"/>
    <m/>
    <m/>
    <m/>
    <m/>
    <m/>
    <m/>
    <m/>
    <m/>
    <m/>
    <m/>
    <m/>
    <m/>
    <n v="0"/>
  </r>
  <r>
    <x v="12"/>
    <s v="Hatalı Malzeme Sebebiyle Bekleme"/>
    <s v="Talaşlı İmalat"/>
    <m/>
    <m/>
    <m/>
    <m/>
    <m/>
    <m/>
    <m/>
    <m/>
    <m/>
    <m/>
    <m/>
    <m/>
    <n v="0"/>
  </r>
  <r>
    <x v="12"/>
    <s v="Hatalı Malzeme Sebebiyle Bekleme"/>
    <s v="Kaynaklı İmalat"/>
    <m/>
    <m/>
    <m/>
    <m/>
    <m/>
    <m/>
    <m/>
    <m/>
    <m/>
    <m/>
    <m/>
    <m/>
    <n v="0"/>
  </r>
  <r>
    <x v="12"/>
    <s v="Hatalı Malzeme Sebebiyle Bekleme"/>
    <s v="Tesisathane"/>
    <m/>
    <m/>
    <m/>
    <m/>
    <m/>
    <m/>
    <m/>
    <m/>
    <m/>
    <m/>
    <m/>
    <m/>
    <n v="0"/>
  </r>
  <r>
    <x v="12"/>
    <s v="Hatalı Malzeme Sebebiyle Bekleme"/>
    <s v="Silindirhane"/>
    <m/>
    <m/>
    <m/>
    <m/>
    <m/>
    <m/>
    <m/>
    <m/>
    <m/>
    <m/>
    <m/>
    <m/>
    <n v="0"/>
  </r>
  <r>
    <x v="12"/>
    <s v="Hatalı Malzeme Sebebiyle Bekleme"/>
    <s v="Montaj"/>
    <m/>
    <m/>
    <m/>
    <m/>
    <m/>
    <m/>
    <m/>
    <n v="755"/>
    <n v="90"/>
    <m/>
    <m/>
    <m/>
    <n v="845"/>
  </r>
  <r>
    <x v="12"/>
    <s v="Hatalı Malzeme Sebebiyle Bekleme"/>
    <s v="Boyahane"/>
    <m/>
    <m/>
    <m/>
    <m/>
    <m/>
    <m/>
    <m/>
    <m/>
    <m/>
    <m/>
    <m/>
    <m/>
    <n v="0"/>
  </r>
  <r>
    <x v="12"/>
    <s v="Hatalı Malzeme Sebebiyle Bekleme"/>
    <s v="Isıl İşlem"/>
    <m/>
    <m/>
    <m/>
    <m/>
    <m/>
    <m/>
    <m/>
    <m/>
    <m/>
    <m/>
    <m/>
    <m/>
    <n v="0"/>
  </r>
  <r>
    <x v="12"/>
    <s v="Hatalı Malzeme Sebebiyle Bekleme"/>
    <s v="Mangan Fosfat"/>
    <m/>
    <m/>
    <m/>
    <m/>
    <m/>
    <m/>
    <m/>
    <m/>
    <m/>
    <m/>
    <m/>
    <m/>
    <n v="0"/>
  </r>
  <r>
    <x v="12"/>
    <s v="Hatalı Malzeme Sebebiyle Bekleme"/>
    <s v="Lojistik / Üretim Planlama"/>
    <m/>
    <m/>
    <m/>
    <m/>
    <m/>
    <m/>
    <m/>
    <n v="180"/>
    <n v="300"/>
    <m/>
    <m/>
    <m/>
    <n v="480"/>
  </r>
  <r>
    <x v="12"/>
    <s v="Hatalı Malzeme Sebebiyle Bekleme"/>
    <s v="Kalite"/>
    <m/>
    <m/>
    <m/>
    <m/>
    <m/>
    <m/>
    <m/>
    <m/>
    <m/>
    <m/>
    <m/>
    <m/>
    <n v="0"/>
  </r>
  <r>
    <x v="12"/>
    <s v="Hatalı Malzeme Sebebiyle Bekleme"/>
    <s v="Kalıp - Aparat"/>
    <m/>
    <m/>
    <m/>
    <m/>
    <m/>
    <m/>
    <m/>
    <m/>
    <m/>
    <m/>
    <m/>
    <m/>
    <n v="0"/>
  </r>
  <r>
    <x v="12"/>
    <s v="Hatalı Malzeme Sebebiyle Bekleme"/>
    <s v="Mühendislik"/>
    <m/>
    <m/>
    <m/>
    <m/>
    <m/>
    <m/>
    <m/>
    <m/>
    <m/>
    <m/>
    <m/>
    <m/>
    <n v="0"/>
  </r>
  <r>
    <x v="12"/>
    <s v="Hatalı Malzeme Sebebiyle Bekleme"/>
    <s v="Satış Pazarlama"/>
    <m/>
    <m/>
    <m/>
    <m/>
    <m/>
    <m/>
    <m/>
    <m/>
    <m/>
    <m/>
    <m/>
    <m/>
    <n v="0"/>
  </r>
  <r>
    <x v="12"/>
    <s v="Hatalı Malzeme Sebebiyle Bekleme"/>
    <s v="Diğer (Belirtiniz)"/>
    <m/>
    <m/>
    <m/>
    <m/>
    <m/>
    <m/>
    <m/>
    <m/>
    <m/>
    <m/>
    <m/>
    <m/>
    <n v="0"/>
  </r>
  <r>
    <x v="12"/>
    <s v="Malzeme Gelmediği İçin Bekleme"/>
    <s v="Kesim - Büküm"/>
    <m/>
    <m/>
    <m/>
    <m/>
    <m/>
    <m/>
    <m/>
    <m/>
    <m/>
    <m/>
    <m/>
    <m/>
    <n v="0"/>
  </r>
  <r>
    <x v="12"/>
    <s v="Malzeme Gelmediği İçin Bekleme"/>
    <s v="Talaşlı İmalat"/>
    <m/>
    <m/>
    <m/>
    <m/>
    <m/>
    <m/>
    <m/>
    <m/>
    <m/>
    <m/>
    <m/>
    <m/>
    <n v="0"/>
  </r>
  <r>
    <x v="12"/>
    <s v="Malzeme Gelmediği İçin Bekleme"/>
    <s v="Kaynaklı İmalat"/>
    <m/>
    <m/>
    <m/>
    <m/>
    <m/>
    <m/>
    <m/>
    <n v="180"/>
    <n v="480"/>
    <m/>
    <m/>
    <m/>
    <n v="660"/>
  </r>
  <r>
    <x v="12"/>
    <s v="Malzeme Gelmediği İçin Bekleme"/>
    <s v="Tesisathane"/>
    <m/>
    <m/>
    <m/>
    <m/>
    <m/>
    <m/>
    <m/>
    <m/>
    <m/>
    <m/>
    <m/>
    <m/>
    <n v="0"/>
  </r>
  <r>
    <x v="12"/>
    <s v="Malzeme Gelmediği İçin Bekleme"/>
    <s v="Silindirhane"/>
    <m/>
    <m/>
    <m/>
    <m/>
    <m/>
    <m/>
    <m/>
    <m/>
    <m/>
    <m/>
    <m/>
    <m/>
    <n v="0"/>
  </r>
  <r>
    <x v="12"/>
    <s v="Malzeme Gelmediği İçin Bekleme"/>
    <s v="Montaj"/>
    <m/>
    <m/>
    <m/>
    <m/>
    <m/>
    <m/>
    <m/>
    <n v="2945"/>
    <m/>
    <m/>
    <m/>
    <m/>
    <n v="2945"/>
  </r>
  <r>
    <x v="12"/>
    <s v="Malzeme Gelmediği İçin Bekleme"/>
    <s v="Boyahane"/>
    <m/>
    <m/>
    <m/>
    <m/>
    <m/>
    <m/>
    <m/>
    <n v="450"/>
    <m/>
    <m/>
    <m/>
    <m/>
    <n v="450"/>
  </r>
  <r>
    <x v="12"/>
    <s v="Malzeme Gelmediği İçin Bekleme"/>
    <s v="Isıl İşlem"/>
    <m/>
    <m/>
    <m/>
    <m/>
    <m/>
    <m/>
    <m/>
    <m/>
    <m/>
    <m/>
    <m/>
    <m/>
    <n v="0"/>
  </r>
  <r>
    <x v="12"/>
    <s v="Malzeme Gelmediği İçin Bekleme"/>
    <s v="Mangan Fosfat"/>
    <m/>
    <m/>
    <m/>
    <m/>
    <m/>
    <m/>
    <m/>
    <m/>
    <m/>
    <m/>
    <m/>
    <m/>
    <n v="0"/>
  </r>
  <r>
    <x v="12"/>
    <s v="Malzeme Gelmediği İçin Bekleme"/>
    <s v="Lojistik / Üretim Planlama"/>
    <m/>
    <m/>
    <m/>
    <m/>
    <m/>
    <m/>
    <m/>
    <n v="340"/>
    <n v="5005"/>
    <m/>
    <m/>
    <m/>
    <n v="5345"/>
  </r>
  <r>
    <x v="12"/>
    <s v="Malzeme Gelmediği İçin Bekleme"/>
    <s v="Kalite"/>
    <m/>
    <m/>
    <m/>
    <m/>
    <m/>
    <m/>
    <m/>
    <m/>
    <m/>
    <m/>
    <m/>
    <m/>
    <n v="0"/>
  </r>
  <r>
    <x v="12"/>
    <s v="Malzeme Gelmediği İçin Bekleme"/>
    <s v="Kalıp - Aparat"/>
    <m/>
    <m/>
    <m/>
    <m/>
    <m/>
    <m/>
    <m/>
    <m/>
    <m/>
    <m/>
    <m/>
    <m/>
    <n v="0"/>
  </r>
  <r>
    <x v="12"/>
    <s v="Malzeme Gelmediği İçin Bekleme"/>
    <s v="Mühendislik"/>
    <m/>
    <m/>
    <m/>
    <m/>
    <m/>
    <m/>
    <m/>
    <m/>
    <m/>
    <m/>
    <m/>
    <m/>
    <n v="0"/>
  </r>
  <r>
    <x v="12"/>
    <s v="Malzeme Gelmediği İçin Bekleme"/>
    <s v="Satış Pazarlama"/>
    <m/>
    <m/>
    <m/>
    <m/>
    <m/>
    <m/>
    <m/>
    <m/>
    <m/>
    <m/>
    <m/>
    <m/>
    <n v="0"/>
  </r>
  <r>
    <x v="12"/>
    <s v="Malzeme Gelmediği İçin Bekleme"/>
    <s v="Diğer (Belirtiniz)"/>
    <m/>
    <m/>
    <m/>
    <m/>
    <m/>
    <m/>
    <m/>
    <m/>
    <m/>
    <m/>
    <m/>
    <m/>
    <n v="0"/>
  </r>
  <r>
    <x v="12"/>
    <s v="Ayar Kaybı"/>
    <m/>
    <m/>
    <m/>
    <m/>
    <m/>
    <m/>
    <m/>
    <m/>
    <n v="100"/>
    <n v="80"/>
    <m/>
    <m/>
    <m/>
    <n v="180"/>
  </r>
  <r>
    <x v="12"/>
    <s v="Tesis / Tezgah Arızası / Elektrik Kesintisi"/>
    <m/>
    <m/>
    <m/>
    <m/>
    <m/>
    <m/>
    <m/>
    <m/>
    <m/>
    <m/>
    <m/>
    <m/>
    <m/>
    <n v="0"/>
  </r>
  <r>
    <x v="12"/>
    <s v="Kalıp / Takım / Ekipman Arızası"/>
    <m/>
    <m/>
    <m/>
    <m/>
    <m/>
    <m/>
    <m/>
    <m/>
    <m/>
    <m/>
    <m/>
    <m/>
    <m/>
    <n v="0"/>
  </r>
  <r>
    <x v="12"/>
    <s v="Tezgah / Tesis Temizlik Bakım"/>
    <m/>
    <m/>
    <m/>
    <m/>
    <m/>
    <m/>
    <m/>
    <m/>
    <n v="725"/>
    <m/>
    <m/>
    <m/>
    <m/>
    <n v="725"/>
  </r>
  <r>
    <x v="12"/>
    <s v="Muayene Sonucu Bekleme"/>
    <m/>
    <m/>
    <m/>
    <m/>
    <m/>
    <m/>
    <m/>
    <m/>
    <m/>
    <m/>
    <m/>
    <m/>
    <m/>
    <n v="0"/>
  </r>
  <r>
    <x v="12"/>
    <s v="Standart Dışı Takım/Kalıp ile Çalışma"/>
    <m/>
    <m/>
    <m/>
    <m/>
    <m/>
    <m/>
    <m/>
    <m/>
    <m/>
    <m/>
    <m/>
    <m/>
    <m/>
    <n v="0"/>
  </r>
  <r>
    <x v="12"/>
    <s v="Tezgah Rejime Sokma Zamanı"/>
    <m/>
    <m/>
    <m/>
    <m/>
    <m/>
    <m/>
    <m/>
    <m/>
    <m/>
    <m/>
    <m/>
    <m/>
    <m/>
    <n v="0"/>
  </r>
  <r>
    <x v="12"/>
    <s v="Takım Hazırlama Zamanı"/>
    <m/>
    <m/>
    <m/>
    <m/>
    <m/>
    <m/>
    <m/>
    <m/>
    <m/>
    <m/>
    <m/>
    <m/>
    <m/>
    <n v="0"/>
  </r>
  <r>
    <x v="12"/>
    <s v="Tecrübe / Ön Seri Çalışması"/>
    <m/>
    <m/>
    <m/>
    <m/>
    <m/>
    <m/>
    <m/>
    <m/>
    <m/>
    <m/>
    <m/>
    <m/>
    <m/>
    <n v="0"/>
  </r>
  <r>
    <x v="12"/>
    <s v="Önceki İstasyonu Bekleme (Montaj)"/>
    <m/>
    <m/>
    <m/>
    <m/>
    <m/>
    <m/>
    <m/>
    <m/>
    <n v="4690"/>
    <m/>
    <m/>
    <m/>
    <m/>
    <n v="4690"/>
  </r>
  <r>
    <x v="12"/>
    <s v="Eksik Parça Tamamlama"/>
    <m/>
    <m/>
    <m/>
    <m/>
    <m/>
    <m/>
    <m/>
    <m/>
    <n v="2940"/>
    <n v="2670"/>
    <m/>
    <m/>
    <m/>
    <n v="5610"/>
  </r>
  <r>
    <x v="12"/>
    <s v="Vinç Bekleme"/>
    <m/>
    <m/>
    <m/>
    <m/>
    <m/>
    <m/>
    <m/>
    <m/>
    <n v="50"/>
    <n v="437"/>
    <m/>
    <m/>
    <m/>
    <n v="487"/>
  </r>
  <r>
    <x v="12"/>
    <s v="Forklift Bekleme"/>
    <m/>
    <m/>
    <m/>
    <m/>
    <m/>
    <m/>
    <m/>
    <m/>
    <m/>
    <m/>
    <m/>
    <m/>
    <m/>
    <n v="0"/>
  </r>
  <r>
    <x v="12"/>
    <s v="Kaizen Çalışmaları"/>
    <m/>
    <m/>
    <m/>
    <m/>
    <m/>
    <m/>
    <m/>
    <m/>
    <m/>
    <m/>
    <m/>
    <m/>
    <m/>
    <n v="0"/>
  </r>
  <r>
    <x v="12"/>
    <s v="5S Çalışmaları"/>
    <m/>
    <m/>
    <m/>
    <m/>
    <m/>
    <m/>
    <m/>
    <m/>
    <n v="80"/>
    <n v="120"/>
    <m/>
    <m/>
    <m/>
    <n v="200"/>
  </r>
  <r>
    <x v="12"/>
    <s v="Toplantı / Görüşme"/>
    <m/>
    <m/>
    <m/>
    <m/>
    <m/>
    <m/>
    <m/>
    <m/>
    <n v="445"/>
    <n v="280"/>
    <m/>
    <m/>
    <m/>
    <n v="725"/>
  </r>
  <r>
    <x v="12"/>
    <s v="Eğitim"/>
    <m/>
    <m/>
    <m/>
    <m/>
    <m/>
    <m/>
    <m/>
    <m/>
    <m/>
    <m/>
    <m/>
    <m/>
    <m/>
    <n v="0"/>
  </r>
  <r>
    <x v="12"/>
    <s v="Görevli"/>
    <m/>
    <m/>
    <m/>
    <m/>
    <m/>
    <m/>
    <m/>
    <m/>
    <n v="2310"/>
    <n v="30"/>
    <m/>
    <m/>
    <m/>
    <n v="2340"/>
  </r>
  <r>
    <x v="12"/>
    <s v="İş Verilemedi"/>
    <m/>
    <m/>
    <m/>
    <m/>
    <m/>
    <m/>
    <m/>
    <m/>
    <m/>
    <m/>
    <m/>
    <m/>
    <m/>
    <n v="0"/>
  </r>
  <r>
    <x v="12"/>
    <s v="Revir "/>
    <m/>
    <m/>
    <m/>
    <m/>
    <m/>
    <m/>
    <m/>
    <m/>
    <n v="100"/>
    <n v="95"/>
    <m/>
    <m/>
    <m/>
    <n v="195"/>
  </r>
  <r>
    <x v="13"/>
    <s v="Hatalı Malzeme Sebebiyle Bekleme"/>
    <s v="Kesim - Büküm"/>
    <m/>
    <m/>
    <m/>
    <m/>
    <m/>
    <m/>
    <m/>
    <m/>
    <m/>
    <m/>
    <m/>
    <m/>
    <n v="0"/>
  </r>
  <r>
    <x v="13"/>
    <s v="Hatalı Malzeme Sebebiyle Bekleme"/>
    <s v="Talaşlı İmalat"/>
    <m/>
    <m/>
    <m/>
    <m/>
    <m/>
    <m/>
    <m/>
    <m/>
    <m/>
    <m/>
    <m/>
    <m/>
    <n v="0"/>
  </r>
  <r>
    <x v="13"/>
    <s v="Hatalı Malzeme Sebebiyle Bekleme"/>
    <s v="Kaynaklı İmalat"/>
    <m/>
    <m/>
    <m/>
    <m/>
    <m/>
    <m/>
    <m/>
    <m/>
    <m/>
    <m/>
    <m/>
    <m/>
    <n v="0"/>
  </r>
  <r>
    <x v="13"/>
    <s v="Hatalı Malzeme Sebebiyle Bekleme"/>
    <s v="Tesisathane"/>
    <m/>
    <m/>
    <m/>
    <m/>
    <m/>
    <m/>
    <m/>
    <m/>
    <m/>
    <m/>
    <m/>
    <m/>
    <n v="0"/>
  </r>
  <r>
    <x v="13"/>
    <s v="Hatalı Malzeme Sebebiyle Bekleme"/>
    <s v="Silindirhane"/>
    <m/>
    <m/>
    <m/>
    <m/>
    <m/>
    <m/>
    <m/>
    <m/>
    <m/>
    <m/>
    <m/>
    <m/>
    <n v="0"/>
  </r>
  <r>
    <x v="13"/>
    <s v="Hatalı Malzeme Sebebiyle Bekleme"/>
    <s v="Montaj"/>
    <m/>
    <m/>
    <m/>
    <m/>
    <m/>
    <m/>
    <m/>
    <m/>
    <m/>
    <m/>
    <m/>
    <m/>
    <n v="0"/>
  </r>
  <r>
    <x v="13"/>
    <s v="Hatalı Malzeme Sebebiyle Bekleme"/>
    <s v="Boyahane"/>
    <m/>
    <m/>
    <m/>
    <m/>
    <m/>
    <m/>
    <m/>
    <m/>
    <m/>
    <m/>
    <m/>
    <m/>
    <n v="0"/>
  </r>
  <r>
    <x v="13"/>
    <s v="Hatalı Malzeme Sebebiyle Bekleme"/>
    <s v="Isıl İşlem"/>
    <m/>
    <m/>
    <m/>
    <m/>
    <m/>
    <m/>
    <m/>
    <m/>
    <m/>
    <m/>
    <m/>
    <m/>
    <n v="0"/>
  </r>
  <r>
    <x v="13"/>
    <s v="Hatalı Malzeme Sebebiyle Bekleme"/>
    <s v="Mangan Fosfat"/>
    <m/>
    <m/>
    <m/>
    <m/>
    <m/>
    <m/>
    <m/>
    <m/>
    <m/>
    <m/>
    <m/>
    <m/>
    <n v="0"/>
  </r>
  <r>
    <x v="13"/>
    <s v="Hatalı Malzeme Sebebiyle Bekleme"/>
    <s v="Lojistik / Üretim Planlama"/>
    <m/>
    <m/>
    <m/>
    <m/>
    <m/>
    <m/>
    <m/>
    <m/>
    <m/>
    <m/>
    <m/>
    <m/>
    <n v="0"/>
  </r>
  <r>
    <x v="13"/>
    <s v="Hatalı Malzeme Sebebiyle Bekleme"/>
    <s v="Kalite"/>
    <m/>
    <m/>
    <m/>
    <m/>
    <m/>
    <m/>
    <m/>
    <m/>
    <m/>
    <m/>
    <m/>
    <m/>
    <n v="0"/>
  </r>
  <r>
    <x v="13"/>
    <s v="Hatalı Malzeme Sebebiyle Bekleme"/>
    <s v="Kalıp - Aparat"/>
    <m/>
    <m/>
    <m/>
    <m/>
    <m/>
    <m/>
    <m/>
    <m/>
    <m/>
    <m/>
    <m/>
    <m/>
    <n v="0"/>
  </r>
  <r>
    <x v="13"/>
    <s v="Hatalı Malzeme Sebebiyle Bekleme"/>
    <s v="Mühendislik"/>
    <m/>
    <m/>
    <m/>
    <m/>
    <m/>
    <m/>
    <m/>
    <m/>
    <m/>
    <m/>
    <m/>
    <m/>
    <n v="0"/>
  </r>
  <r>
    <x v="13"/>
    <s v="Hatalı Malzeme Sebebiyle Bekleme"/>
    <s v="Satış Pazarlama"/>
    <m/>
    <m/>
    <m/>
    <m/>
    <m/>
    <m/>
    <m/>
    <m/>
    <m/>
    <m/>
    <m/>
    <m/>
    <n v="0"/>
  </r>
  <r>
    <x v="13"/>
    <s v="Hatalı Malzeme Sebebiyle Bekleme"/>
    <s v="Diğer (Belirtiniz)"/>
    <m/>
    <m/>
    <m/>
    <m/>
    <m/>
    <m/>
    <m/>
    <m/>
    <m/>
    <m/>
    <m/>
    <m/>
    <n v="0"/>
  </r>
  <r>
    <x v="13"/>
    <s v="Malzeme Gelmediği İçin Bekleme"/>
    <s v="Kesim - Büküm"/>
    <m/>
    <m/>
    <m/>
    <m/>
    <m/>
    <m/>
    <m/>
    <m/>
    <m/>
    <m/>
    <m/>
    <m/>
    <n v="0"/>
  </r>
  <r>
    <x v="13"/>
    <s v="Malzeme Gelmediği İçin Bekleme"/>
    <s v="Talaşlı İmalat"/>
    <m/>
    <m/>
    <m/>
    <m/>
    <m/>
    <m/>
    <m/>
    <m/>
    <m/>
    <m/>
    <m/>
    <m/>
    <n v="0"/>
  </r>
  <r>
    <x v="13"/>
    <s v="Malzeme Gelmediği İçin Bekleme"/>
    <s v="Kaynaklı İmalat"/>
    <m/>
    <m/>
    <m/>
    <m/>
    <m/>
    <m/>
    <m/>
    <m/>
    <m/>
    <m/>
    <m/>
    <m/>
    <n v="0"/>
  </r>
  <r>
    <x v="13"/>
    <s v="Malzeme Gelmediği İçin Bekleme"/>
    <s v="Tesisathane"/>
    <m/>
    <m/>
    <m/>
    <m/>
    <m/>
    <m/>
    <m/>
    <m/>
    <m/>
    <m/>
    <m/>
    <m/>
    <n v="0"/>
  </r>
  <r>
    <x v="13"/>
    <s v="Malzeme Gelmediği İçin Bekleme"/>
    <s v="Silindirhane"/>
    <m/>
    <m/>
    <m/>
    <m/>
    <m/>
    <m/>
    <m/>
    <m/>
    <m/>
    <m/>
    <m/>
    <m/>
    <n v="0"/>
  </r>
  <r>
    <x v="13"/>
    <s v="Malzeme Gelmediği İçin Bekleme"/>
    <s v="Montaj"/>
    <m/>
    <m/>
    <m/>
    <m/>
    <m/>
    <m/>
    <m/>
    <m/>
    <m/>
    <m/>
    <m/>
    <m/>
    <n v="0"/>
  </r>
  <r>
    <x v="13"/>
    <s v="Malzeme Gelmediği İçin Bekleme"/>
    <s v="Boyahane"/>
    <m/>
    <m/>
    <m/>
    <m/>
    <m/>
    <m/>
    <m/>
    <m/>
    <m/>
    <m/>
    <m/>
    <m/>
    <n v="0"/>
  </r>
  <r>
    <x v="13"/>
    <s v="Malzeme Gelmediği İçin Bekleme"/>
    <s v="Isıl İşlem"/>
    <m/>
    <m/>
    <m/>
    <m/>
    <m/>
    <m/>
    <m/>
    <m/>
    <m/>
    <m/>
    <m/>
    <m/>
    <n v="0"/>
  </r>
  <r>
    <x v="13"/>
    <s v="Malzeme Gelmediği İçin Bekleme"/>
    <s v="Mangan Fosfat"/>
    <m/>
    <m/>
    <m/>
    <m/>
    <m/>
    <m/>
    <m/>
    <m/>
    <m/>
    <m/>
    <m/>
    <m/>
    <n v="0"/>
  </r>
  <r>
    <x v="13"/>
    <s v="Malzeme Gelmediği İçin Bekleme"/>
    <s v="Lojistik / Üretim Planlama"/>
    <m/>
    <m/>
    <m/>
    <m/>
    <m/>
    <m/>
    <m/>
    <m/>
    <m/>
    <m/>
    <m/>
    <m/>
    <n v="0"/>
  </r>
  <r>
    <x v="13"/>
    <s v="Malzeme Gelmediği İçin Bekleme"/>
    <s v="Kalite"/>
    <m/>
    <m/>
    <m/>
    <m/>
    <m/>
    <m/>
    <m/>
    <m/>
    <m/>
    <m/>
    <m/>
    <m/>
    <n v="0"/>
  </r>
  <r>
    <x v="13"/>
    <s v="Malzeme Gelmediği İçin Bekleme"/>
    <s v="Kalıp - Aparat"/>
    <m/>
    <m/>
    <m/>
    <m/>
    <m/>
    <m/>
    <m/>
    <m/>
    <m/>
    <m/>
    <m/>
    <m/>
    <n v="0"/>
  </r>
  <r>
    <x v="13"/>
    <s v="Malzeme Gelmediği İçin Bekleme"/>
    <s v="Mühendislik"/>
    <m/>
    <m/>
    <m/>
    <m/>
    <m/>
    <m/>
    <m/>
    <m/>
    <m/>
    <m/>
    <m/>
    <m/>
    <n v="0"/>
  </r>
  <r>
    <x v="13"/>
    <s v="Malzeme Gelmediği İçin Bekleme"/>
    <s v="Satış Pazarlama"/>
    <m/>
    <m/>
    <m/>
    <m/>
    <m/>
    <m/>
    <m/>
    <m/>
    <m/>
    <m/>
    <m/>
    <m/>
    <n v="0"/>
  </r>
  <r>
    <x v="13"/>
    <s v="Malzeme Gelmediği İçin Bekleme"/>
    <s v="Diğer (Belirtiniz)"/>
    <m/>
    <m/>
    <m/>
    <m/>
    <m/>
    <m/>
    <m/>
    <m/>
    <m/>
    <m/>
    <m/>
    <m/>
    <n v="0"/>
  </r>
  <r>
    <x v="13"/>
    <s v="Ayar Kaybı"/>
    <m/>
    <m/>
    <m/>
    <m/>
    <m/>
    <m/>
    <m/>
    <m/>
    <m/>
    <m/>
    <m/>
    <m/>
    <m/>
    <n v="0"/>
  </r>
  <r>
    <x v="13"/>
    <s v="Tesis / Tezgah Arızası / Elektrik Kesintisi"/>
    <m/>
    <m/>
    <m/>
    <m/>
    <m/>
    <m/>
    <m/>
    <m/>
    <m/>
    <m/>
    <m/>
    <m/>
    <m/>
    <n v="0"/>
  </r>
  <r>
    <x v="13"/>
    <s v="Kalıp / Takım / Ekipman Arızası"/>
    <m/>
    <m/>
    <m/>
    <m/>
    <m/>
    <m/>
    <m/>
    <m/>
    <m/>
    <m/>
    <m/>
    <m/>
    <m/>
    <n v="0"/>
  </r>
  <r>
    <x v="13"/>
    <s v="Tezgah / Tesis Temizlik Bakım"/>
    <m/>
    <m/>
    <m/>
    <m/>
    <m/>
    <m/>
    <m/>
    <m/>
    <m/>
    <m/>
    <m/>
    <m/>
    <m/>
    <n v="0"/>
  </r>
  <r>
    <x v="13"/>
    <s v="Muayene Sonucu Bekleme"/>
    <m/>
    <m/>
    <m/>
    <m/>
    <m/>
    <m/>
    <m/>
    <m/>
    <m/>
    <m/>
    <m/>
    <m/>
    <m/>
    <n v="0"/>
  </r>
  <r>
    <x v="13"/>
    <s v="Standart Dışı Takım/Kalıp ile Çalışma"/>
    <m/>
    <m/>
    <m/>
    <m/>
    <m/>
    <m/>
    <m/>
    <m/>
    <m/>
    <m/>
    <m/>
    <m/>
    <m/>
    <n v="0"/>
  </r>
  <r>
    <x v="13"/>
    <s v="Tezgah Rejime Sokma Zamanı"/>
    <m/>
    <m/>
    <m/>
    <m/>
    <m/>
    <m/>
    <m/>
    <m/>
    <m/>
    <m/>
    <m/>
    <m/>
    <m/>
    <n v="0"/>
  </r>
  <r>
    <x v="13"/>
    <s v="Takım Hazırlama Zamanı"/>
    <m/>
    <m/>
    <m/>
    <m/>
    <m/>
    <m/>
    <m/>
    <m/>
    <m/>
    <m/>
    <m/>
    <m/>
    <m/>
    <n v="0"/>
  </r>
  <r>
    <x v="13"/>
    <s v="Tecrübe / Ön Seri Çalışması"/>
    <m/>
    <m/>
    <m/>
    <m/>
    <m/>
    <m/>
    <m/>
    <m/>
    <m/>
    <m/>
    <m/>
    <m/>
    <m/>
    <n v="0"/>
  </r>
  <r>
    <x v="13"/>
    <s v="Önceki İstasyonu Bekleme (Montaj)"/>
    <m/>
    <m/>
    <m/>
    <m/>
    <m/>
    <m/>
    <m/>
    <m/>
    <m/>
    <m/>
    <m/>
    <m/>
    <m/>
    <n v="0"/>
  </r>
  <r>
    <x v="13"/>
    <s v="Eksik Parça Tamamlama"/>
    <m/>
    <m/>
    <m/>
    <m/>
    <m/>
    <m/>
    <m/>
    <m/>
    <m/>
    <m/>
    <m/>
    <m/>
    <m/>
    <n v="0"/>
  </r>
  <r>
    <x v="13"/>
    <s v="Vinç Bekleme"/>
    <m/>
    <m/>
    <m/>
    <m/>
    <m/>
    <m/>
    <m/>
    <m/>
    <m/>
    <m/>
    <m/>
    <m/>
    <m/>
    <n v="0"/>
  </r>
  <r>
    <x v="13"/>
    <s v="Forklift Bekleme"/>
    <m/>
    <m/>
    <m/>
    <m/>
    <m/>
    <m/>
    <m/>
    <m/>
    <m/>
    <m/>
    <m/>
    <m/>
    <m/>
    <n v="0"/>
  </r>
  <r>
    <x v="13"/>
    <s v="Kaizen Çalışmaları"/>
    <m/>
    <m/>
    <m/>
    <m/>
    <m/>
    <m/>
    <m/>
    <m/>
    <m/>
    <m/>
    <m/>
    <m/>
    <m/>
    <n v="0"/>
  </r>
  <r>
    <x v="13"/>
    <s v="5S Çalışmaları"/>
    <m/>
    <m/>
    <m/>
    <m/>
    <m/>
    <m/>
    <m/>
    <m/>
    <m/>
    <m/>
    <m/>
    <m/>
    <m/>
    <n v="0"/>
  </r>
  <r>
    <x v="13"/>
    <s v="Toplantı / Görüşme"/>
    <m/>
    <m/>
    <m/>
    <m/>
    <m/>
    <m/>
    <m/>
    <m/>
    <m/>
    <m/>
    <m/>
    <m/>
    <m/>
    <n v="0"/>
  </r>
  <r>
    <x v="13"/>
    <s v="Eğitim"/>
    <m/>
    <m/>
    <m/>
    <m/>
    <m/>
    <m/>
    <m/>
    <m/>
    <m/>
    <m/>
    <m/>
    <m/>
    <m/>
    <n v="0"/>
  </r>
  <r>
    <x v="13"/>
    <s v="Görevli"/>
    <m/>
    <m/>
    <m/>
    <m/>
    <m/>
    <m/>
    <m/>
    <m/>
    <m/>
    <m/>
    <m/>
    <m/>
    <m/>
    <n v="0"/>
  </r>
  <r>
    <x v="13"/>
    <s v="İş Verilemedi"/>
    <m/>
    <m/>
    <m/>
    <m/>
    <m/>
    <m/>
    <m/>
    <m/>
    <m/>
    <m/>
    <m/>
    <m/>
    <m/>
    <n v="0"/>
  </r>
  <r>
    <x v="13"/>
    <s v="Revir "/>
    <m/>
    <m/>
    <m/>
    <m/>
    <m/>
    <m/>
    <m/>
    <m/>
    <m/>
    <m/>
    <m/>
    <m/>
    <m/>
    <n v="0"/>
  </r>
  <r>
    <x v="14"/>
    <s v="Hatalı Malzeme Sebebiyle Bekleme"/>
    <s v="Kesim - Büküm"/>
    <m/>
    <m/>
    <m/>
    <m/>
    <m/>
    <m/>
    <m/>
    <m/>
    <m/>
    <m/>
    <m/>
    <m/>
    <n v="0"/>
  </r>
  <r>
    <x v="14"/>
    <s v="Hatalı Malzeme Sebebiyle Bekleme"/>
    <s v="Talaşlı İmalat"/>
    <m/>
    <m/>
    <m/>
    <m/>
    <m/>
    <m/>
    <m/>
    <m/>
    <m/>
    <m/>
    <m/>
    <m/>
    <n v="0"/>
  </r>
  <r>
    <x v="14"/>
    <s v="Hatalı Malzeme Sebebiyle Bekleme"/>
    <s v="Kaynaklı İmalat"/>
    <m/>
    <m/>
    <m/>
    <m/>
    <m/>
    <m/>
    <m/>
    <m/>
    <m/>
    <m/>
    <m/>
    <m/>
    <n v="0"/>
  </r>
  <r>
    <x v="14"/>
    <s v="Hatalı Malzeme Sebebiyle Bekleme"/>
    <s v="Tesisathane"/>
    <m/>
    <m/>
    <m/>
    <m/>
    <m/>
    <m/>
    <m/>
    <m/>
    <m/>
    <m/>
    <m/>
    <m/>
    <n v="0"/>
  </r>
  <r>
    <x v="14"/>
    <s v="Hatalı Malzeme Sebebiyle Bekleme"/>
    <s v="Silindirhane"/>
    <m/>
    <m/>
    <m/>
    <m/>
    <m/>
    <m/>
    <m/>
    <m/>
    <m/>
    <m/>
    <m/>
    <m/>
    <n v="0"/>
  </r>
  <r>
    <x v="14"/>
    <s v="Hatalı Malzeme Sebebiyle Bekleme"/>
    <s v="Montaj"/>
    <m/>
    <m/>
    <m/>
    <m/>
    <m/>
    <m/>
    <m/>
    <m/>
    <m/>
    <m/>
    <m/>
    <m/>
    <n v="0"/>
  </r>
  <r>
    <x v="14"/>
    <s v="Hatalı Malzeme Sebebiyle Bekleme"/>
    <s v="Boyahane"/>
    <m/>
    <m/>
    <m/>
    <m/>
    <m/>
    <m/>
    <m/>
    <m/>
    <m/>
    <m/>
    <m/>
    <m/>
    <n v="0"/>
  </r>
  <r>
    <x v="14"/>
    <s v="Hatalı Malzeme Sebebiyle Bekleme"/>
    <s v="Isıl İşlem"/>
    <m/>
    <m/>
    <m/>
    <m/>
    <m/>
    <m/>
    <m/>
    <m/>
    <m/>
    <m/>
    <m/>
    <m/>
    <n v="0"/>
  </r>
  <r>
    <x v="14"/>
    <s v="Hatalı Malzeme Sebebiyle Bekleme"/>
    <s v="Mangan Fosfat"/>
    <m/>
    <m/>
    <m/>
    <m/>
    <m/>
    <m/>
    <m/>
    <m/>
    <m/>
    <m/>
    <m/>
    <m/>
    <n v="0"/>
  </r>
  <r>
    <x v="14"/>
    <s v="Hatalı Malzeme Sebebiyle Bekleme"/>
    <s v="Lojistik / Üretim Planlama"/>
    <m/>
    <m/>
    <m/>
    <m/>
    <m/>
    <m/>
    <m/>
    <m/>
    <m/>
    <m/>
    <m/>
    <m/>
    <n v="0"/>
  </r>
  <r>
    <x v="14"/>
    <s v="Hatalı Malzeme Sebebiyle Bekleme"/>
    <s v="Kalite"/>
    <m/>
    <m/>
    <m/>
    <m/>
    <m/>
    <m/>
    <m/>
    <m/>
    <m/>
    <m/>
    <m/>
    <m/>
    <n v="0"/>
  </r>
  <r>
    <x v="14"/>
    <s v="Hatalı Malzeme Sebebiyle Bekleme"/>
    <s v="Kalıp - Aparat"/>
    <m/>
    <m/>
    <m/>
    <m/>
    <m/>
    <m/>
    <m/>
    <m/>
    <m/>
    <m/>
    <m/>
    <m/>
    <n v="0"/>
  </r>
  <r>
    <x v="14"/>
    <s v="Hatalı Malzeme Sebebiyle Bekleme"/>
    <s v="Mühendislik"/>
    <m/>
    <m/>
    <m/>
    <m/>
    <m/>
    <m/>
    <m/>
    <m/>
    <m/>
    <m/>
    <m/>
    <m/>
    <n v="0"/>
  </r>
  <r>
    <x v="14"/>
    <s v="Hatalı Malzeme Sebebiyle Bekleme"/>
    <s v="Satış Pazarlama"/>
    <m/>
    <m/>
    <m/>
    <m/>
    <m/>
    <m/>
    <m/>
    <m/>
    <m/>
    <m/>
    <m/>
    <m/>
    <n v="0"/>
  </r>
  <r>
    <x v="14"/>
    <s v="Hatalı Malzeme Sebebiyle Bekleme"/>
    <s v="Diğer (Belirtiniz)"/>
    <m/>
    <m/>
    <m/>
    <m/>
    <m/>
    <m/>
    <m/>
    <m/>
    <m/>
    <m/>
    <m/>
    <m/>
    <n v="0"/>
  </r>
  <r>
    <x v="14"/>
    <s v="Malzeme Gelmediği İçin Bekleme"/>
    <s v="Kesim - Büküm"/>
    <m/>
    <m/>
    <m/>
    <m/>
    <m/>
    <m/>
    <m/>
    <m/>
    <m/>
    <m/>
    <m/>
    <m/>
    <n v="0"/>
  </r>
  <r>
    <x v="14"/>
    <s v="Malzeme Gelmediği İçin Bekleme"/>
    <s v="Talaşlı İmalat"/>
    <m/>
    <m/>
    <m/>
    <m/>
    <m/>
    <m/>
    <m/>
    <m/>
    <m/>
    <m/>
    <m/>
    <m/>
    <n v="0"/>
  </r>
  <r>
    <x v="14"/>
    <s v="Malzeme Gelmediği İçin Bekleme"/>
    <s v="Kaynaklı İmalat"/>
    <m/>
    <m/>
    <m/>
    <m/>
    <m/>
    <m/>
    <m/>
    <m/>
    <m/>
    <m/>
    <m/>
    <m/>
    <n v="0"/>
  </r>
  <r>
    <x v="14"/>
    <s v="Malzeme Gelmediği İçin Bekleme"/>
    <s v="Tesisathane"/>
    <m/>
    <m/>
    <m/>
    <m/>
    <m/>
    <m/>
    <m/>
    <m/>
    <m/>
    <m/>
    <m/>
    <m/>
    <n v="0"/>
  </r>
  <r>
    <x v="14"/>
    <s v="Malzeme Gelmediği İçin Bekleme"/>
    <s v="Silindirhane"/>
    <m/>
    <m/>
    <m/>
    <m/>
    <m/>
    <m/>
    <m/>
    <m/>
    <m/>
    <m/>
    <m/>
    <m/>
    <n v="0"/>
  </r>
  <r>
    <x v="14"/>
    <s v="Malzeme Gelmediği İçin Bekleme"/>
    <s v="Montaj"/>
    <m/>
    <m/>
    <m/>
    <m/>
    <m/>
    <m/>
    <m/>
    <m/>
    <m/>
    <m/>
    <m/>
    <m/>
    <n v="0"/>
  </r>
  <r>
    <x v="14"/>
    <s v="Malzeme Gelmediği İçin Bekleme"/>
    <s v="Boyahane"/>
    <m/>
    <m/>
    <m/>
    <m/>
    <m/>
    <m/>
    <m/>
    <m/>
    <m/>
    <m/>
    <m/>
    <m/>
    <n v="0"/>
  </r>
  <r>
    <x v="14"/>
    <s v="Malzeme Gelmediği İçin Bekleme"/>
    <s v="Isıl İşlem"/>
    <m/>
    <m/>
    <m/>
    <m/>
    <m/>
    <m/>
    <m/>
    <m/>
    <m/>
    <m/>
    <m/>
    <m/>
    <n v="0"/>
  </r>
  <r>
    <x v="14"/>
    <s v="Malzeme Gelmediği İçin Bekleme"/>
    <s v="Mangan Fosfat"/>
    <m/>
    <m/>
    <m/>
    <m/>
    <m/>
    <m/>
    <m/>
    <m/>
    <m/>
    <m/>
    <m/>
    <m/>
    <n v="0"/>
  </r>
  <r>
    <x v="14"/>
    <s v="Malzeme Gelmediği İçin Bekleme"/>
    <s v="Lojistik / Üretim Planlama"/>
    <m/>
    <m/>
    <m/>
    <m/>
    <m/>
    <m/>
    <m/>
    <m/>
    <m/>
    <m/>
    <m/>
    <m/>
    <n v="0"/>
  </r>
  <r>
    <x v="14"/>
    <s v="Malzeme Gelmediği İçin Bekleme"/>
    <s v="Kalite"/>
    <m/>
    <m/>
    <m/>
    <m/>
    <m/>
    <m/>
    <m/>
    <m/>
    <m/>
    <m/>
    <m/>
    <m/>
    <n v="0"/>
  </r>
  <r>
    <x v="14"/>
    <s v="Malzeme Gelmediği İçin Bekleme"/>
    <s v="Kalıp - Aparat"/>
    <m/>
    <m/>
    <m/>
    <m/>
    <m/>
    <m/>
    <m/>
    <m/>
    <m/>
    <m/>
    <m/>
    <m/>
    <n v="0"/>
  </r>
  <r>
    <x v="14"/>
    <s v="Malzeme Gelmediği İçin Bekleme"/>
    <s v="Mühendislik"/>
    <m/>
    <m/>
    <m/>
    <m/>
    <m/>
    <m/>
    <m/>
    <m/>
    <m/>
    <m/>
    <m/>
    <m/>
    <n v="0"/>
  </r>
  <r>
    <x v="14"/>
    <s v="Malzeme Gelmediği İçin Bekleme"/>
    <s v="Satış Pazarlama"/>
    <m/>
    <m/>
    <m/>
    <m/>
    <m/>
    <m/>
    <m/>
    <m/>
    <m/>
    <m/>
    <m/>
    <m/>
    <n v="0"/>
  </r>
  <r>
    <x v="14"/>
    <s v="Malzeme Gelmediği İçin Bekleme"/>
    <s v="Diğer (Belirtiniz)"/>
    <m/>
    <m/>
    <m/>
    <m/>
    <m/>
    <m/>
    <m/>
    <m/>
    <m/>
    <m/>
    <m/>
    <m/>
    <n v="0"/>
  </r>
  <r>
    <x v="14"/>
    <s v="Ayar Kaybı"/>
    <m/>
    <m/>
    <m/>
    <m/>
    <m/>
    <m/>
    <m/>
    <m/>
    <m/>
    <m/>
    <m/>
    <m/>
    <m/>
    <n v="0"/>
  </r>
  <r>
    <x v="14"/>
    <s v="Tesis / Tezgah Arızası / Elektrik Kesintisi"/>
    <m/>
    <m/>
    <m/>
    <m/>
    <m/>
    <m/>
    <m/>
    <m/>
    <m/>
    <m/>
    <m/>
    <m/>
    <m/>
    <n v="0"/>
  </r>
  <r>
    <x v="14"/>
    <s v="Kalıp / Takım / Ekipman Arızası"/>
    <m/>
    <m/>
    <m/>
    <m/>
    <m/>
    <m/>
    <m/>
    <m/>
    <m/>
    <m/>
    <m/>
    <m/>
    <m/>
    <n v="0"/>
  </r>
  <r>
    <x v="14"/>
    <s v="Tezgah / Tesis Temizlik Bakım"/>
    <m/>
    <m/>
    <m/>
    <m/>
    <m/>
    <m/>
    <m/>
    <m/>
    <m/>
    <m/>
    <m/>
    <m/>
    <m/>
    <n v="0"/>
  </r>
  <r>
    <x v="14"/>
    <s v="Muayene Sonucu Bekleme"/>
    <m/>
    <m/>
    <m/>
    <m/>
    <m/>
    <m/>
    <m/>
    <m/>
    <m/>
    <m/>
    <m/>
    <m/>
    <m/>
    <n v="0"/>
  </r>
  <r>
    <x v="14"/>
    <s v="Standart Dışı Takım/Kalıp ile Çalışma"/>
    <m/>
    <m/>
    <m/>
    <m/>
    <m/>
    <m/>
    <m/>
    <m/>
    <m/>
    <m/>
    <m/>
    <m/>
    <m/>
    <n v="0"/>
  </r>
  <r>
    <x v="14"/>
    <s v="Tezgah Rejime Sokma Zamanı"/>
    <m/>
    <m/>
    <m/>
    <m/>
    <m/>
    <m/>
    <m/>
    <m/>
    <m/>
    <m/>
    <m/>
    <m/>
    <m/>
    <n v="0"/>
  </r>
  <r>
    <x v="14"/>
    <s v="Takım Hazırlama Zamanı"/>
    <m/>
    <m/>
    <m/>
    <m/>
    <m/>
    <m/>
    <m/>
    <m/>
    <m/>
    <m/>
    <m/>
    <m/>
    <m/>
    <n v="0"/>
  </r>
  <r>
    <x v="14"/>
    <s v="Tecrübe / Ön Seri Çalışması"/>
    <m/>
    <m/>
    <m/>
    <m/>
    <m/>
    <m/>
    <m/>
    <m/>
    <m/>
    <m/>
    <m/>
    <m/>
    <m/>
    <n v="0"/>
  </r>
  <r>
    <x v="14"/>
    <s v="Önceki İstasyonu Bekleme (Montaj)"/>
    <m/>
    <m/>
    <m/>
    <m/>
    <m/>
    <m/>
    <m/>
    <m/>
    <m/>
    <m/>
    <m/>
    <m/>
    <m/>
    <n v="0"/>
  </r>
  <r>
    <x v="14"/>
    <s v="Eksik Parça Tamamlama"/>
    <m/>
    <m/>
    <m/>
    <m/>
    <m/>
    <m/>
    <m/>
    <m/>
    <m/>
    <m/>
    <m/>
    <m/>
    <m/>
    <n v="0"/>
  </r>
  <r>
    <x v="14"/>
    <s v="Vinç Bekleme"/>
    <m/>
    <m/>
    <m/>
    <m/>
    <m/>
    <m/>
    <m/>
    <m/>
    <m/>
    <m/>
    <m/>
    <m/>
    <m/>
    <n v="0"/>
  </r>
  <r>
    <x v="14"/>
    <s v="Forklift Bekleme"/>
    <m/>
    <m/>
    <m/>
    <m/>
    <m/>
    <m/>
    <m/>
    <m/>
    <m/>
    <m/>
    <m/>
    <m/>
    <m/>
    <n v="0"/>
  </r>
  <r>
    <x v="14"/>
    <s v="Kaizen Çalışmaları"/>
    <m/>
    <m/>
    <m/>
    <m/>
    <m/>
    <m/>
    <m/>
    <m/>
    <m/>
    <m/>
    <m/>
    <m/>
    <m/>
    <n v="0"/>
  </r>
  <r>
    <x v="14"/>
    <s v="5S Çalışmaları"/>
    <m/>
    <m/>
    <m/>
    <m/>
    <m/>
    <m/>
    <m/>
    <m/>
    <m/>
    <m/>
    <m/>
    <m/>
    <m/>
    <n v="0"/>
  </r>
  <r>
    <x v="14"/>
    <s v="Toplantı / Görüşme"/>
    <m/>
    <m/>
    <m/>
    <m/>
    <m/>
    <m/>
    <m/>
    <m/>
    <m/>
    <m/>
    <m/>
    <m/>
    <m/>
    <n v="0"/>
  </r>
  <r>
    <x v="14"/>
    <s v="Eğitim"/>
    <m/>
    <m/>
    <m/>
    <m/>
    <m/>
    <m/>
    <m/>
    <m/>
    <m/>
    <m/>
    <m/>
    <m/>
    <m/>
    <n v="0"/>
  </r>
  <r>
    <x v="14"/>
    <s v="Görevli"/>
    <m/>
    <m/>
    <m/>
    <m/>
    <m/>
    <m/>
    <m/>
    <m/>
    <m/>
    <m/>
    <m/>
    <m/>
    <m/>
    <n v="0"/>
  </r>
  <r>
    <x v="14"/>
    <s v="İş Verilemedi"/>
    <m/>
    <m/>
    <m/>
    <m/>
    <m/>
    <m/>
    <m/>
    <m/>
    <m/>
    <m/>
    <m/>
    <m/>
    <m/>
    <n v="0"/>
  </r>
  <r>
    <x v="14"/>
    <s v="Revir "/>
    <m/>
    <m/>
    <m/>
    <m/>
    <m/>
    <m/>
    <m/>
    <m/>
    <m/>
    <m/>
    <m/>
    <m/>
    <m/>
    <n v="0"/>
  </r>
  <r>
    <x v="15"/>
    <s v="Hatalı Malzeme Sebebiyle Bekleme"/>
    <s v="Kesim - Büküm"/>
    <m/>
    <m/>
    <m/>
    <m/>
    <m/>
    <m/>
    <m/>
    <m/>
    <m/>
    <m/>
    <m/>
    <m/>
    <n v="0"/>
  </r>
  <r>
    <x v="15"/>
    <s v="Hatalı Malzeme Sebebiyle Bekleme"/>
    <s v="Talaşlı İmalat"/>
    <m/>
    <m/>
    <m/>
    <m/>
    <m/>
    <m/>
    <m/>
    <m/>
    <m/>
    <m/>
    <m/>
    <m/>
    <n v="0"/>
  </r>
  <r>
    <x v="15"/>
    <s v="Hatalı Malzeme Sebebiyle Bekleme"/>
    <s v="Kaynaklı İmalat"/>
    <m/>
    <m/>
    <m/>
    <m/>
    <m/>
    <m/>
    <m/>
    <m/>
    <m/>
    <m/>
    <m/>
    <m/>
    <n v="0"/>
  </r>
  <r>
    <x v="15"/>
    <s v="Hatalı Malzeme Sebebiyle Bekleme"/>
    <s v="Tesisathane"/>
    <m/>
    <m/>
    <m/>
    <m/>
    <m/>
    <m/>
    <m/>
    <m/>
    <m/>
    <m/>
    <m/>
    <m/>
    <n v="0"/>
  </r>
  <r>
    <x v="15"/>
    <s v="Hatalı Malzeme Sebebiyle Bekleme"/>
    <s v="Silindirhane"/>
    <m/>
    <m/>
    <m/>
    <m/>
    <m/>
    <m/>
    <m/>
    <m/>
    <m/>
    <m/>
    <m/>
    <m/>
    <n v="0"/>
  </r>
  <r>
    <x v="15"/>
    <s v="Hatalı Malzeme Sebebiyle Bekleme"/>
    <s v="Montaj"/>
    <m/>
    <m/>
    <m/>
    <m/>
    <m/>
    <m/>
    <m/>
    <m/>
    <m/>
    <m/>
    <m/>
    <m/>
    <n v="0"/>
  </r>
  <r>
    <x v="15"/>
    <s v="Hatalı Malzeme Sebebiyle Bekleme"/>
    <s v="Boyahane"/>
    <m/>
    <m/>
    <m/>
    <m/>
    <m/>
    <m/>
    <m/>
    <m/>
    <m/>
    <m/>
    <m/>
    <m/>
    <n v="0"/>
  </r>
  <r>
    <x v="15"/>
    <s v="Hatalı Malzeme Sebebiyle Bekleme"/>
    <s v="Isıl İşlem"/>
    <m/>
    <m/>
    <m/>
    <m/>
    <m/>
    <m/>
    <m/>
    <m/>
    <m/>
    <m/>
    <m/>
    <m/>
    <n v="0"/>
  </r>
  <r>
    <x v="15"/>
    <s v="Hatalı Malzeme Sebebiyle Bekleme"/>
    <s v="Mangan Fosfat"/>
    <m/>
    <m/>
    <m/>
    <m/>
    <m/>
    <m/>
    <m/>
    <m/>
    <m/>
    <m/>
    <m/>
    <m/>
    <n v="0"/>
  </r>
  <r>
    <x v="15"/>
    <s v="Hatalı Malzeme Sebebiyle Bekleme"/>
    <s v="Lojistik / Üretim Planlama"/>
    <m/>
    <m/>
    <m/>
    <m/>
    <m/>
    <m/>
    <m/>
    <m/>
    <m/>
    <m/>
    <m/>
    <m/>
    <n v="0"/>
  </r>
  <r>
    <x v="15"/>
    <s v="Hatalı Malzeme Sebebiyle Bekleme"/>
    <s v="Kalite"/>
    <m/>
    <m/>
    <m/>
    <m/>
    <m/>
    <m/>
    <m/>
    <m/>
    <m/>
    <m/>
    <m/>
    <m/>
    <n v="0"/>
  </r>
  <r>
    <x v="15"/>
    <s v="Hatalı Malzeme Sebebiyle Bekleme"/>
    <s v="Kalıp - Aparat"/>
    <m/>
    <m/>
    <m/>
    <m/>
    <m/>
    <m/>
    <m/>
    <m/>
    <m/>
    <m/>
    <m/>
    <m/>
    <n v="0"/>
  </r>
  <r>
    <x v="15"/>
    <s v="Hatalı Malzeme Sebebiyle Bekleme"/>
    <s v="Mühendislik"/>
    <m/>
    <m/>
    <m/>
    <m/>
    <m/>
    <m/>
    <m/>
    <m/>
    <m/>
    <m/>
    <m/>
    <m/>
    <n v="0"/>
  </r>
  <r>
    <x v="15"/>
    <s v="Hatalı Malzeme Sebebiyle Bekleme"/>
    <s v="Satış Pazarlama"/>
    <m/>
    <m/>
    <m/>
    <m/>
    <m/>
    <m/>
    <m/>
    <m/>
    <m/>
    <m/>
    <m/>
    <m/>
    <n v="0"/>
  </r>
  <r>
    <x v="15"/>
    <s v="Hatalı Malzeme Sebebiyle Bekleme"/>
    <s v="Diğer (Belirtiniz)"/>
    <m/>
    <m/>
    <m/>
    <m/>
    <m/>
    <m/>
    <m/>
    <m/>
    <m/>
    <m/>
    <m/>
    <m/>
    <n v="0"/>
  </r>
  <r>
    <x v="15"/>
    <s v="Malzeme Gelmediği İçin Bekleme"/>
    <s v="Kesim - Büküm"/>
    <m/>
    <m/>
    <m/>
    <m/>
    <m/>
    <m/>
    <m/>
    <m/>
    <m/>
    <m/>
    <m/>
    <m/>
    <n v="0"/>
  </r>
  <r>
    <x v="15"/>
    <s v="Malzeme Gelmediği İçin Bekleme"/>
    <s v="Talaşlı İmalat"/>
    <m/>
    <m/>
    <m/>
    <m/>
    <m/>
    <m/>
    <m/>
    <m/>
    <m/>
    <m/>
    <m/>
    <m/>
    <n v="0"/>
  </r>
  <r>
    <x v="15"/>
    <s v="Malzeme Gelmediği İçin Bekleme"/>
    <s v="Kaynaklı İmalat"/>
    <m/>
    <m/>
    <m/>
    <m/>
    <m/>
    <m/>
    <m/>
    <m/>
    <m/>
    <m/>
    <m/>
    <m/>
    <n v="0"/>
  </r>
  <r>
    <x v="15"/>
    <s v="Malzeme Gelmediği İçin Bekleme"/>
    <s v="Tesisathane"/>
    <m/>
    <m/>
    <m/>
    <m/>
    <m/>
    <m/>
    <m/>
    <m/>
    <m/>
    <m/>
    <m/>
    <m/>
    <n v="0"/>
  </r>
  <r>
    <x v="15"/>
    <s v="Malzeme Gelmediği İçin Bekleme"/>
    <s v="Silindirhane"/>
    <m/>
    <m/>
    <m/>
    <m/>
    <m/>
    <m/>
    <m/>
    <m/>
    <m/>
    <m/>
    <m/>
    <m/>
    <n v="0"/>
  </r>
  <r>
    <x v="15"/>
    <s v="Malzeme Gelmediği İçin Bekleme"/>
    <s v="Montaj"/>
    <m/>
    <m/>
    <m/>
    <m/>
    <m/>
    <m/>
    <m/>
    <m/>
    <m/>
    <m/>
    <m/>
    <m/>
    <n v="0"/>
  </r>
  <r>
    <x v="15"/>
    <s v="Malzeme Gelmediği İçin Bekleme"/>
    <s v="Boyahane"/>
    <m/>
    <m/>
    <m/>
    <m/>
    <m/>
    <m/>
    <m/>
    <m/>
    <m/>
    <m/>
    <m/>
    <m/>
    <n v="0"/>
  </r>
  <r>
    <x v="15"/>
    <s v="Malzeme Gelmediği İçin Bekleme"/>
    <s v="Isıl İşlem"/>
    <m/>
    <m/>
    <m/>
    <m/>
    <m/>
    <m/>
    <m/>
    <m/>
    <m/>
    <m/>
    <m/>
    <m/>
    <n v="0"/>
  </r>
  <r>
    <x v="15"/>
    <s v="Malzeme Gelmediği İçin Bekleme"/>
    <s v="Mangan Fosfat"/>
    <m/>
    <m/>
    <m/>
    <m/>
    <m/>
    <m/>
    <m/>
    <m/>
    <m/>
    <m/>
    <m/>
    <m/>
    <n v="0"/>
  </r>
  <r>
    <x v="15"/>
    <s v="Malzeme Gelmediği İçin Bekleme"/>
    <s v="Lojistik / Üretim Planlama"/>
    <m/>
    <m/>
    <m/>
    <m/>
    <m/>
    <m/>
    <m/>
    <m/>
    <m/>
    <m/>
    <m/>
    <m/>
    <n v="0"/>
  </r>
  <r>
    <x v="15"/>
    <s v="Malzeme Gelmediği İçin Bekleme"/>
    <s v="Kalite"/>
    <m/>
    <m/>
    <m/>
    <m/>
    <m/>
    <m/>
    <m/>
    <m/>
    <m/>
    <m/>
    <m/>
    <m/>
    <n v="0"/>
  </r>
  <r>
    <x v="15"/>
    <s v="Malzeme Gelmediği İçin Bekleme"/>
    <s v="Kalıp - Aparat"/>
    <m/>
    <m/>
    <m/>
    <m/>
    <m/>
    <m/>
    <m/>
    <m/>
    <m/>
    <m/>
    <m/>
    <m/>
    <n v="0"/>
  </r>
  <r>
    <x v="15"/>
    <s v="Malzeme Gelmediği İçin Bekleme"/>
    <s v="Mühendislik"/>
    <m/>
    <m/>
    <m/>
    <m/>
    <m/>
    <m/>
    <m/>
    <m/>
    <m/>
    <m/>
    <m/>
    <m/>
    <n v="0"/>
  </r>
  <r>
    <x v="15"/>
    <s v="Malzeme Gelmediği İçin Bekleme"/>
    <s v="Satış Pazarlama"/>
    <m/>
    <m/>
    <m/>
    <m/>
    <m/>
    <m/>
    <m/>
    <m/>
    <m/>
    <m/>
    <m/>
    <m/>
    <n v="0"/>
  </r>
  <r>
    <x v="15"/>
    <s v="Malzeme Gelmediği İçin Bekleme"/>
    <s v="Diğer (Belirtiniz)"/>
    <m/>
    <m/>
    <m/>
    <m/>
    <m/>
    <m/>
    <m/>
    <m/>
    <m/>
    <m/>
    <m/>
    <m/>
    <n v="0"/>
  </r>
  <r>
    <x v="15"/>
    <s v="Ayar Kaybı"/>
    <m/>
    <n v="7270"/>
    <n v="7636"/>
    <n v="9020"/>
    <n v="8620"/>
    <n v="8265"/>
    <n v="11600"/>
    <n v="10075"/>
    <n v="15780"/>
    <n v="13998"/>
    <m/>
    <m/>
    <m/>
    <n v="92264"/>
  </r>
  <r>
    <x v="15"/>
    <s v="Tesis / Tezgah Arızası / Elektrik Kesintisi"/>
    <m/>
    <n v="765"/>
    <m/>
    <n v="300"/>
    <m/>
    <n v="285"/>
    <m/>
    <n v="30"/>
    <m/>
    <m/>
    <m/>
    <m/>
    <m/>
    <n v="1380"/>
  </r>
  <r>
    <x v="15"/>
    <s v="Kalıp / Takım / Ekipman Arızası"/>
    <m/>
    <m/>
    <m/>
    <n v="150"/>
    <n v="120"/>
    <n v="190"/>
    <n v="165"/>
    <n v="65"/>
    <m/>
    <n v="90"/>
    <m/>
    <m/>
    <m/>
    <n v="780"/>
  </r>
  <r>
    <x v="15"/>
    <s v="Tezgah / Tesis Temizlik Bakım"/>
    <m/>
    <n v="1295"/>
    <n v="1371"/>
    <n v="1590"/>
    <n v="1695"/>
    <n v="1790"/>
    <n v="2465"/>
    <n v="2045"/>
    <n v="2807"/>
    <n v="2895"/>
    <m/>
    <m/>
    <m/>
    <n v="17953"/>
  </r>
  <r>
    <x v="15"/>
    <s v="Muayene Sonucu Bekleme"/>
    <m/>
    <m/>
    <m/>
    <n v="15"/>
    <n v="35"/>
    <m/>
    <n v="15"/>
    <m/>
    <m/>
    <n v="10"/>
    <m/>
    <m/>
    <m/>
    <n v="75"/>
  </r>
  <r>
    <x v="15"/>
    <s v="Standart Dışı Takım/Kalıp ile Çalışma"/>
    <m/>
    <n v="395"/>
    <n v="100"/>
    <n v="220"/>
    <n v="365"/>
    <n v="185"/>
    <n v="345"/>
    <n v="55"/>
    <n v="325"/>
    <n v="330"/>
    <m/>
    <m/>
    <m/>
    <n v="2320"/>
  </r>
  <r>
    <x v="15"/>
    <s v="Tezgah Rejime Sokma Zamanı"/>
    <m/>
    <n v="375"/>
    <n v="345"/>
    <n v="330"/>
    <n v="535"/>
    <n v="455"/>
    <n v="940"/>
    <n v="465"/>
    <n v="665"/>
    <n v="715"/>
    <m/>
    <m/>
    <m/>
    <n v="4825"/>
  </r>
  <r>
    <x v="15"/>
    <s v="Takım Hazırlama Zamanı"/>
    <m/>
    <n v="2025"/>
    <n v="1840"/>
    <n v="1890"/>
    <n v="2020"/>
    <n v="2165"/>
    <n v="3535"/>
    <n v="2460"/>
    <n v="3015"/>
    <n v="3360"/>
    <m/>
    <m/>
    <m/>
    <n v="22310"/>
  </r>
  <r>
    <x v="15"/>
    <s v="Tecrübe / Ön Seri Çalışması"/>
    <m/>
    <n v="220"/>
    <n v="315"/>
    <n v="195"/>
    <n v="525"/>
    <n v="485"/>
    <n v="845"/>
    <n v="625"/>
    <n v="850"/>
    <n v="925"/>
    <m/>
    <m/>
    <m/>
    <n v="4985"/>
  </r>
  <r>
    <x v="15"/>
    <s v="Önceki İstasyonu Bekleme (Montaj)"/>
    <m/>
    <n v="30"/>
    <n v="80"/>
    <m/>
    <m/>
    <n v="75"/>
    <n v="15"/>
    <m/>
    <m/>
    <m/>
    <m/>
    <m/>
    <m/>
    <n v="200"/>
  </r>
  <r>
    <x v="15"/>
    <s v="Eksik Parça Tamamlama"/>
    <m/>
    <n v="50"/>
    <n v="15"/>
    <n v="15"/>
    <n v="85"/>
    <m/>
    <n v="155"/>
    <n v="15"/>
    <n v="45"/>
    <m/>
    <m/>
    <m/>
    <m/>
    <n v="380"/>
  </r>
  <r>
    <x v="15"/>
    <s v="Vinç Bekleme"/>
    <m/>
    <n v="490"/>
    <n v="480"/>
    <n v="220"/>
    <n v="170"/>
    <n v="105"/>
    <n v="255"/>
    <n v="185"/>
    <n v="295"/>
    <n v="385"/>
    <m/>
    <m/>
    <m/>
    <n v="2585"/>
  </r>
  <r>
    <x v="15"/>
    <s v="Forklift Bekleme"/>
    <m/>
    <n v="30"/>
    <n v="160"/>
    <m/>
    <m/>
    <m/>
    <m/>
    <m/>
    <m/>
    <m/>
    <m/>
    <m/>
    <m/>
    <n v="190"/>
  </r>
  <r>
    <x v="15"/>
    <s v="Kaizen Çalışmaları"/>
    <m/>
    <m/>
    <m/>
    <m/>
    <m/>
    <m/>
    <m/>
    <m/>
    <m/>
    <m/>
    <m/>
    <m/>
    <m/>
    <n v="0"/>
  </r>
  <r>
    <x v="15"/>
    <s v="5S Çalışmaları"/>
    <m/>
    <m/>
    <m/>
    <m/>
    <m/>
    <m/>
    <m/>
    <m/>
    <m/>
    <m/>
    <m/>
    <m/>
    <m/>
    <n v="0"/>
  </r>
  <r>
    <x v="15"/>
    <s v="Toplantı / Görüşme"/>
    <m/>
    <m/>
    <n v="20"/>
    <n v="30"/>
    <n v="240"/>
    <n v="10"/>
    <m/>
    <m/>
    <n v="430"/>
    <n v="45"/>
    <m/>
    <m/>
    <m/>
    <n v="775"/>
  </r>
  <r>
    <x v="15"/>
    <s v="Eğitim"/>
    <m/>
    <n v="60"/>
    <m/>
    <n v="100"/>
    <n v="2340"/>
    <m/>
    <n v="120"/>
    <m/>
    <n v="780"/>
    <m/>
    <m/>
    <m/>
    <m/>
    <n v="3400"/>
  </r>
  <r>
    <x v="15"/>
    <s v="Görevli"/>
    <m/>
    <n v="2975"/>
    <n v="3535"/>
    <n v="3910"/>
    <n v="4155"/>
    <n v="3540"/>
    <n v="3327"/>
    <n v="2575"/>
    <n v="5150"/>
    <n v="3790"/>
    <m/>
    <m/>
    <m/>
    <n v="32957"/>
  </r>
  <r>
    <x v="15"/>
    <s v="İş Verilemedi"/>
    <m/>
    <m/>
    <m/>
    <m/>
    <m/>
    <m/>
    <m/>
    <m/>
    <m/>
    <m/>
    <m/>
    <m/>
    <m/>
    <n v="0"/>
  </r>
  <r>
    <x v="15"/>
    <s v="Revir "/>
    <m/>
    <m/>
    <n v="30"/>
    <n v="120"/>
    <m/>
    <m/>
    <m/>
    <n v="240"/>
    <n v="240"/>
    <m/>
    <m/>
    <m/>
    <m/>
    <n v="630"/>
  </r>
  <r>
    <x v="16"/>
    <s v="Hatalı Malzeme Sebebiyle Bekleme"/>
    <s v="Kesim - Büküm"/>
    <m/>
    <m/>
    <m/>
    <m/>
    <m/>
    <m/>
    <m/>
    <m/>
    <m/>
    <m/>
    <m/>
    <m/>
    <n v="0"/>
  </r>
  <r>
    <x v="16"/>
    <s v="Hatalı Malzeme Sebebiyle Bekleme"/>
    <s v="Talaşlı İmalat"/>
    <m/>
    <m/>
    <m/>
    <m/>
    <m/>
    <m/>
    <m/>
    <m/>
    <m/>
    <m/>
    <m/>
    <m/>
    <n v="0"/>
  </r>
  <r>
    <x v="16"/>
    <s v="Hatalı Malzeme Sebebiyle Bekleme"/>
    <s v="Kaynaklı İmalat"/>
    <m/>
    <m/>
    <m/>
    <m/>
    <m/>
    <m/>
    <m/>
    <m/>
    <m/>
    <m/>
    <m/>
    <m/>
    <n v="0"/>
  </r>
  <r>
    <x v="16"/>
    <s v="Hatalı Malzeme Sebebiyle Bekleme"/>
    <s v="Tesisathane"/>
    <m/>
    <m/>
    <m/>
    <m/>
    <m/>
    <m/>
    <m/>
    <m/>
    <m/>
    <m/>
    <m/>
    <m/>
    <n v="0"/>
  </r>
  <r>
    <x v="16"/>
    <s v="Hatalı Malzeme Sebebiyle Bekleme"/>
    <s v="Silindirhane"/>
    <m/>
    <m/>
    <m/>
    <m/>
    <m/>
    <m/>
    <m/>
    <m/>
    <m/>
    <m/>
    <m/>
    <m/>
    <n v="0"/>
  </r>
  <r>
    <x v="16"/>
    <s v="Hatalı Malzeme Sebebiyle Bekleme"/>
    <s v="Montaj"/>
    <m/>
    <m/>
    <m/>
    <m/>
    <m/>
    <m/>
    <m/>
    <m/>
    <m/>
    <m/>
    <m/>
    <m/>
    <n v="0"/>
  </r>
  <r>
    <x v="16"/>
    <s v="Hatalı Malzeme Sebebiyle Bekleme"/>
    <s v="Boyahane"/>
    <m/>
    <m/>
    <m/>
    <m/>
    <m/>
    <m/>
    <m/>
    <m/>
    <m/>
    <m/>
    <m/>
    <m/>
    <n v="0"/>
  </r>
  <r>
    <x v="16"/>
    <s v="Hatalı Malzeme Sebebiyle Bekleme"/>
    <s v="Isıl İşlem"/>
    <m/>
    <m/>
    <m/>
    <m/>
    <m/>
    <m/>
    <m/>
    <m/>
    <m/>
    <m/>
    <m/>
    <m/>
    <n v="0"/>
  </r>
  <r>
    <x v="16"/>
    <s v="Hatalı Malzeme Sebebiyle Bekleme"/>
    <s v="Mangan Fosfat"/>
    <m/>
    <m/>
    <m/>
    <m/>
    <m/>
    <m/>
    <m/>
    <m/>
    <m/>
    <m/>
    <m/>
    <m/>
    <n v="0"/>
  </r>
  <r>
    <x v="16"/>
    <s v="Hatalı Malzeme Sebebiyle Bekleme"/>
    <s v="Lojistik / Üretim Planlama"/>
    <m/>
    <m/>
    <m/>
    <m/>
    <m/>
    <m/>
    <m/>
    <m/>
    <m/>
    <m/>
    <m/>
    <m/>
    <n v="0"/>
  </r>
  <r>
    <x v="16"/>
    <s v="Hatalı Malzeme Sebebiyle Bekleme"/>
    <s v="Kalite"/>
    <m/>
    <m/>
    <m/>
    <m/>
    <m/>
    <m/>
    <m/>
    <m/>
    <m/>
    <m/>
    <m/>
    <m/>
    <n v="0"/>
  </r>
  <r>
    <x v="16"/>
    <s v="Hatalı Malzeme Sebebiyle Bekleme"/>
    <s v="Kalıp - Aparat"/>
    <m/>
    <m/>
    <m/>
    <m/>
    <m/>
    <m/>
    <m/>
    <m/>
    <m/>
    <m/>
    <m/>
    <m/>
    <n v="0"/>
  </r>
  <r>
    <x v="16"/>
    <s v="Hatalı Malzeme Sebebiyle Bekleme"/>
    <s v="Mühendislik"/>
    <m/>
    <m/>
    <m/>
    <m/>
    <m/>
    <m/>
    <m/>
    <m/>
    <m/>
    <m/>
    <m/>
    <m/>
    <n v="0"/>
  </r>
  <r>
    <x v="16"/>
    <s v="Hatalı Malzeme Sebebiyle Bekleme"/>
    <s v="Satış Pazarlama"/>
    <m/>
    <m/>
    <m/>
    <m/>
    <m/>
    <m/>
    <m/>
    <m/>
    <m/>
    <m/>
    <m/>
    <m/>
    <n v="0"/>
  </r>
  <r>
    <x v="16"/>
    <s v="Hatalı Malzeme Sebebiyle Bekleme"/>
    <s v="Diğer (Belirtiniz)"/>
    <m/>
    <m/>
    <m/>
    <m/>
    <m/>
    <m/>
    <n v="55"/>
    <n v="260"/>
    <n v="110"/>
    <m/>
    <m/>
    <m/>
    <n v="425"/>
  </r>
  <r>
    <x v="16"/>
    <s v="Malzeme Gelmediği İçin Bekleme"/>
    <s v="Kesim - Büküm"/>
    <m/>
    <m/>
    <m/>
    <m/>
    <m/>
    <m/>
    <m/>
    <m/>
    <m/>
    <m/>
    <m/>
    <m/>
    <n v="0"/>
  </r>
  <r>
    <x v="16"/>
    <s v="Malzeme Gelmediği İçin Bekleme"/>
    <s v="Talaşlı İmalat"/>
    <m/>
    <m/>
    <m/>
    <m/>
    <m/>
    <m/>
    <m/>
    <m/>
    <m/>
    <m/>
    <m/>
    <m/>
    <n v="0"/>
  </r>
  <r>
    <x v="16"/>
    <s v="Malzeme Gelmediği İçin Bekleme"/>
    <s v="Kaynaklı İmalat"/>
    <m/>
    <m/>
    <m/>
    <m/>
    <m/>
    <m/>
    <m/>
    <m/>
    <m/>
    <m/>
    <m/>
    <m/>
    <n v="0"/>
  </r>
  <r>
    <x v="16"/>
    <s v="Malzeme Gelmediği İçin Bekleme"/>
    <s v="Tesisathane"/>
    <m/>
    <m/>
    <m/>
    <m/>
    <m/>
    <m/>
    <m/>
    <m/>
    <m/>
    <m/>
    <m/>
    <m/>
    <n v="0"/>
  </r>
  <r>
    <x v="16"/>
    <s v="Malzeme Gelmediği İçin Bekleme"/>
    <s v="Silindirhane"/>
    <m/>
    <m/>
    <m/>
    <m/>
    <m/>
    <m/>
    <m/>
    <m/>
    <m/>
    <m/>
    <m/>
    <m/>
    <n v="0"/>
  </r>
  <r>
    <x v="16"/>
    <s v="Malzeme Gelmediği İçin Bekleme"/>
    <s v="Montaj"/>
    <m/>
    <m/>
    <m/>
    <m/>
    <m/>
    <m/>
    <m/>
    <m/>
    <m/>
    <m/>
    <m/>
    <m/>
    <n v="0"/>
  </r>
  <r>
    <x v="16"/>
    <s v="Malzeme Gelmediği İçin Bekleme"/>
    <s v="Boyahane"/>
    <m/>
    <m/>
    <m/>
    <m/>
    <m/>
    <m/>
    <m/>
    <m/>
    <m/>
    <m/>
    <m/>
    <m/>
    <n v="0"/>
  </r>
  <r>
    <x v="16"/>
    <s v="Malzeme Gelmediği İçin Bekleme"/>
    <s v="Isıl İşlem"/>
    <m/>
    <m/>
    <m/>
    <m/>
    <m/>
    <m/>
    <m/>
    <m/>
    <m/>
    <m/>
    <m/>
    <m/>
    <n v="0"/>
  </r>
  <r>
    <x v="16"/>
    <s v="Malzeme Gelmediği İçin Bekleme"/>
    <s v="Mangan Fosfat"/>
    <m/>
    <m/>
    <m/>
    <m/>
    <m/>
    <m/>
    <m/>
    <m/>
    <m/>
    <m/>
    <m/>
    <m/>
    <n v="0"/>
  </r>
  <r>
    <x v="16"/>
    <s v="Malzeme Gelmediği İçin Bekleme"/>
    <s v="Lojistik / Üretim Planlama"/>
    <m/>
    <m/>
    <m/>
    <m/>
    <m/>
    <m/>
    <m/>
    <m/>
    <m/>
    <m/>
    <m/>
    <m/>
    <n v="0"/>
  </r>
  <r>
    <x v="16"/>
    <s v="Malzeme Gelmediği İçin Bekleme"/>
    <s v="Kalite"/>
    <m/>
    <m/>
    <m/>
    <m/>
    <m/>
    <m/>
    <m/>
    <m/>
    <m/>
    <m/>
    <m/>
    <m/>
    <n v="0"/>
  </r>
  <r>
    <x v="16"/>
    <s v="Malzeme Gelmediği İçin Bekleme"/>
    <s v="Kalıp - Aparat"/>
    <m/>
    <m/>
    <m/>
    <m/>
    <m/>
    <m/>
    <m/>
    <m/>
    <m/>
    <m/>
    <m/>
    <m/>
    <n v="0"/>
  </r>
  <r>
    <x v="16"/>
    <s v="Malzeme Gelmediği İçin Bekleme"/>
    <s v="Mühendislik"/>
    <m/>
    <m/>
    <m/>
    <m/>
    <m/>
    <m/>
    <m/>
    <m/>
    <m/>
    <m/>
    <m/>
    <m/>
    <n v="0"/>
  </r>
  <r>
    <x v="16"/>
    <s v="Malzeme Gelmediği İçin Bekleme"/>
    <s v="Satış Pazarlama"/>
    <m/>
    <m/>
    <m/>
    <m/>
    <m/>
    <m/>
    <m/>
    <m/>
    <m/>
    <m/>
    <m/>
    <m/>
    <n v="0"/>
  </r>
  <r>
    <x v="16"/>
    <s v="Malzeme Gelmediği İçin Bekleme"/>
    <s v="Diğer (Belirtiniz)"/>
    <m/>
    <m/>
    <m/>
    <m/>
    <m/>
    <m/>
    <n v="660"/>
    <n v="1000"/>
    <n v="1691"/>
    <m/>
    <m/>
    <m/>
    <n v="3351"/>
  </r>
  <r>
    <x v="16"/>
    <s v="Ayar Kaybı"/>
    <m/>
    <m/>
    <m/>
    <m/>
    <m/>
    <m/>
    <m/>
    <n v="3280"/>
    <n v="3935"/>
    <n v="4270"/>
    <m/>
    <m/>
    <m/>
    <n v="11485"/>
  </r>
  <r>
    <x v="16"/>
    <s v="Tesis / Tezgah Arızası / Elektrik Kesintisi"/>
    <m/>
    <m/>
    <m/>
    <m/>
    <m/>
    <m/>
    <m/>
    <n v="410"/>
    <n v="250"/>
    <n v="645"/>
    <m/>
    <m/>
    <m/>
    <n v="1305"/>
  </r>
  <r>
    <x v="16"/>
    <s v="Kalıp / Takım / Ekipman Arızası"/>
    <m/>
    <m/>
    <m/>
    <m/>
    <m/>
    <m/>
    <m/>
    <n v="665"/>
    <n v="1851"/>
    <n v="1545"/>
    <m/>
    <m/>
    <m/>
    <n v="4061"/>
  </r>
  <r>
    <x v="16"/>
    <s v="Tezgah / Tesis Temizlik Bakım"/>
    <m/>
    <m/>
    <m/>
    <m/>
    <m/>
    <m/>
    <m/>
    <n v="4705"/>
    <n v="6563"/>
    <n v="7006"/>
    <m/>
    <m/>
    <m/>
    <n v="18274"/>
  </r>
  <r>
    <x v="16"/>
    <s v="Muayene Sonucu Bekleme"/>
    <m/>
    <m/>
    <m/>
    <m/>
    <m/>
    <m/>
    <m/>
    <m/>
    <n v="50"/>
    <n v="100"/>
    <m/>
    <m/>
    <m/>
    <n v="150"/>
  </r>
  <r>
    <x v="16"/>
    <s v="Standart Dışı Takım/Kalıp ile Çalışma"/>
    <m/>
    <m/>
    <m/>
    <m/>
    <m/>
    <m/>
    <m/>
    <m/>
    <m/>
    <n v="165"/>
    <m/>
    <m/>
    <m/>
    <n v="165"/>
  </r>
  <r>
    <x v="16"/>
    <s v="Tezgah Rejime Sokma Zamanı"/>
    <m/>
    <m/>
    <m/>
    <m/>
    <m/>
    <m/>
    <m/>
    <m/>
    <n v="90"/>
    <m/>
    <m/>
    <m/>
    <m/>
    <n v="90"/>
  </r>
  <r>
    <x v="16"/>
    <s v="Takım Hazırlama Zamanı"/>
    <m/>
    <m/>
    <m/>
    <m/>
    <m/>
    <m/>
    <m/>
    <n v="20"/>
    <n v="375"/>
    <n v="130"/>
    <m/>
    <m/>
    <m/>
    <n v="525"/>
  </r>
  <r>
    <x v="16"/>
    <s v="Tecrübe / Ön Seri Çalışması"/>
    <m/>
    <m/>
    <m/>
    <m/>
    <m/>
    <m/>
    <m/>
    <m/>
    <m/>
    <m/>
    <m/>
    <m/>
    <m/>
    <n v="0"/>
  </r>
  <r>
    <x v="16"/>
    <s v="Önceki İstasyonu Bekleme (Montaj)"/>
    <m/>
    <m/>
    <m/>
    <m/>
    <m/>
    <m/>
    <m/>
    <m/>
    <n v="0"/>
    <n v="0"/>
    <m/>
    <m/>
    <m/>
    <n v="0"/>
  </r>
  <r>
    <x v="16"/>
    <s v="Eksik Parça Tamamlama"/>
    <m/>
    <m/>
    <m/>
    <m/>
    <m/>
    <m/>
    <m/>
    <m/>
    <n v="0"/>
    <n v="90"/>
    <m/>
    <m/>
    <m/>
    <n v="90"/>
  </r>
  <r>
    <x v="16"/>
    <s v="Vinç Bekleme"/>
    <m/>
    <m/>
    <m/>
    <m/>
    <m/>
    <m/>
    <m/>
    <n v="6714"/>
    <n v="7846"/>
    <n v="10149"/>
    <m/>
    <m/>
    <m/>
    <n v="24709"/>
  </r>
  <r>
    <x v="16"/>
    <s v="Forklift Bekleme"/>
    <m/>
    <m/>
    <m/>
    <m/>
    <m/>
    <m/>
    <m/>
    <n v="467"/>
    <n v="1236"/>
    <n v="1290"/>
    <m/>
    <m/>
    <m/>
    <n v="2993"/>
  </r>
  <r>
    <x v="16"/>
    <s v="Kaizen Çalışmaları"/>
    <m/>
    <m/>
    <m/>
    <m/>
    <m/>
    <m/>
    <m/>
    <n v="15"/>
    <n v="40"/>
    <n v="0"/>
    <m/>
    <m/>
    <m/>
    <n v="55"/>
  </r>
  <r>
    <x v="16"/>
    <s v="5S Çalışmaları"/>
    <m/>
    <m/>
    <m/>
    <m/>
    <m/>
    <m/>
    <m/>
    <m/>
    <n v="0"/>
    <n v="0"/>
    <m/>
    <m/>
    <m/>
    <n v="0"/>
  </r>
  <r>
    <x v="16"/>
    <s v="Toplantı / Görüşme"/>
    <m/>
    <m/>
    <m/>
    <m/>
    <m/>
    <m/>
    <m/>
    <m/>
    <n v="370"/>
    <n v="30"/>
    <m/>
    <m/>
    <m/>
    <n v="400"/>
  </r>
  <r>
    <x v="16"/>
    <s v="Eğitim"/>
    <m/>
    <m/>
    <m/>
    <m/>
    <m/>
    <m/>
    <m/>
    <m/>
    <n v="0"/>
    <n v="0"/>
    <m/>
    <m/>
    <m/>
    <n v="0"/>
  </r>
  <r>
    <x v="16"/>
    <s v="Görevli"/>
    <m/>
    <m/>
    <m/>
    <m/>
    <m/>
    <m/>
    <m/>
    <n v="90"/>
    <n v="120"/>
    <n v="600"/>
    <m/>
    <m/>
    <m/>
    <n v="810"/>
  </r>
  <r>
    <x v="16"/>
    <s v="İş Verilemedi"/>
    <m/>
    <m/>
    <m/>
    <m/>
    <m/>
    <m/>
    <m/>
    <m/>
    <n v="55"/>
    <n v="0"/>
    <m/>
    <m/>
    <m/>
    <n v="55"/>
  </r>
  <r>
    <x v="16"/>
    <s v="Revir "/>
    <m/>
    <m/>
    <m/>
    <m/>
    <m/>
    <m/>
    <m/>
    <n v="1430"/>
    <n v="420"/>
    <n v="330"/>
    <m/>
    <m/>
    <m/>
    <n v="2180"/>
  </r>
  <r>
    <x v="5"/>
    <m/>
    <m/>
    <m/>
    <m/>
    <m/>
    <m/>
    <m/>
    <m/>
    <m/>
    <m/>
    <m/>
    <m/>
    <m/>
    <m/>
    <n v="0"/>
  </r>
  <r>
    <x v="5"/>
    <m/>
    <m/>
    <m/>
    <m/>
    <m/>
    <m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C5:I18" firstHeaderRow="0" firstDataRow="1" firstDataCol="1" rowPageCount="1" colPageCount="1"/>
  <pivotFields count="28"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multipleItemSelectionAllowed="1" showAll="0" defaultSubtotal="0">
      <items count="2">
        <item x="0"/>
        <item x="1"/>
      </items>
    </pivotField>
    <pivotField showAll="0">
      <items count="3">
        <item h="1" x="0"/>
        <item x="1"/>
        <item t="default"/>
      </items>
    </pivotField>
    <pivotField showAll="0">
      <items count="21">
        <item x="0"/>
        <item x="3"/>
        <item x="2"/>
        <item x="6"/>
        <item x="14"/>
        <item x="16"/>
        <item x="13"/>
        <item x="18"/>
        <item x="5"/>
        <item x="7"/>
        <item x="15"/>
        <item x="19"/>
        <item x="4"/>
        <item h="1" x="11"/>
        <item x="12"/>
        <item h="1" x="10"/>
        <item x="8"/>
        <item x="9"/>
        <item x="17"/>
        <item x="1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numFmtId="164" showAll="0"/>
    <pivotField dataField="1" numFmtId="3" showAll="0"/>
    <pivotField numFmtId="3" showAll="0"/>
    <pivotField numFmtId="2" showAll="0"/>
    <pivotField dataField="1" numFmtId="2" showAll="0" defaultSubtotal="0"/>
    <pivotField dataField="1" numFmtId="1" showAll="0" defaultSubtotal="0"/>
    <pivotField dataField="1" numFmtId="1" showAll="0"/>
    <pivotField dataField="1" numFmtId="1" showAll="0"/>
    <pivotField showAll="0"/>
    <pivotField showAll="0"/>
    <pivotField showAll="0"/>
    <pivotField showAll="0"/>
    <pivotField numFmtId="1" showAll="0"/>
    <pivotField numFmtId="1" showAll="0"/>
    <pivotField showAll="0" defaultSubtotal="0"/>
    <pivotField numFmtId="1" showAll="0"/>
    <pivotField numFmtId="1" showAll="0"/>
    <pivotField numFmtId="1" showAll="0"/>
    <pivotField numFmtId="1" showAll="0"/>
    <pivotField dataField="1" numFmtI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Toplam Net Kapasite Direkt" fld="9" baseField="0" baseItem="0"/>
    <dataField name="Toplam Üretilen Değer (Sap Verisi)" fld="27" baseField="0" baseItem="1"/>
    <dataField name="Toplam Duruş" fld="13" baseField="0" baseItem="0"/>
    <dataField name="Toplam Toplam Girilen İşçilik" fld="14" baseField="0" baseItem="0"/>
    <dataField name="Toplam Ödünç + Üretilen Değer" fld="12" baseField="0" baseItem="0"/>
    <dataField name="Toplam Fark (PDKS - Toplam Üretilen Değer)" fld="15" baseField="0" baseItem="0"/>
  </dataFields>
  <formats count="6">
    <format dxfId="136">
      <pivotArea outline="0" collapsedLevelsAreSubtotals="1" fieldPosition="0"/>
    </format>
    <format dxfId="135">
      <pivotArea outline="0" collapsedLevelsAreSubtotals="1" fieldPosition="0"/>
    </format>
    <format dxfId="134">
      <pivotArea outline="0" collapsedLevelsAreSubtotals="1" fieldPosition="0"/>
    </format>
    <format dxfId="133">
      <pivotArea outline="0" collapsedLevelsAreSubtotals="1" fieldPosition="0"/>
    </format>
    <format dxfId="132">
      <pivotArea outline="0" collapsedLevelsAreSubtotals="1" fieldPosition="0"/>
    </format>
    <format dxfId="1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2" cacheId="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2" rowHeaderCaption="Bölüm" colHeaderCaption="AY">
  <location ref="B3:O25" firstHeaderRow="1" firstDataRow="2" firstDataCol="1"/>
  <pivotFields count="28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21">
        <item x="0"/>
        <item x="3"/>
        <item x="2"/>
        <item x="6"/>
        <item x="1"/>
        <item x="5"/>
        <item x="7"/>
        <item x="8"/>
        <item x="4"/>
        <item x="10"/>
        <item x="11"/>
        <item x="12"/>
        <item x="13"/>
        <item x="14"/>
        <item x="9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 defaultSubtotal="0"/>
    <pivotField showAll="0"/>
    <pivotField numFmtId="3" showAll="0"/>
    <pivotField numFmtId="3" showAll="0"/>
    <pivotField showAll="0"/>
    <pivotField numFmtId="2" showAll="0" defaultSubtotal="0"/>
    <pivotField numFmtId="1" showAll="0" defaultSubtota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Verimlilik" fld="5" subtotal="average" baseField="3" baseItem="3" numFmtId="164"/>
  </dataFields>
  <formats count="19">
    <format dxfId="129">
      <pivotArea outline="0" collapsedLevelsAreSubtotals="1" fieldPosition="0"/>
    </format>
    <format dxfId="128">
      <pivotArea outline="0" collapsedLevelsAreSubtotals="1" fieldPosition="0"/>
    </format>
    <format dxfId="127">
      <pivotArea outline="0" collapsedLevelsAreSubtotals="1" fieldPosition="0"/>
    </format>
    <format dxfId="126">
      <pivotArea outline="0" collapsedLevelsAreSubtotals="1" fieldPosition="0"/>
    </format>
    <format dxfId="125">
      <pivotArea outline="0" collapsedLevelsAreSubtotals="1" fieldPosition="0"/>
    </format>
    <format dxfId="124">
      <pivotArea outline="0" collapsedLevelsAreSubtotals="1" fieldPosition="0"/>
    </format>
    <format dxfId="123">
      <pivotArea outline="0" collapsedLevelsAreSubtotals="1" fieldPosition="0"/>
    </format>
    <format dxfId="122">
      <pivotArea outline="0" collapsedLevelsAreSubtotals="1" fieldPosition="0"/>
    </format>
    <format dxfId="121">
      <pivotArea outline="0" collapsedLevelsAreSubtotals="1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field="0" type="button" dataOnly="0" labelOnly="1" outline="0" axis="axisCol" fieldPosition="0"/>
    </format>
    <format dxfId="116">
      <pivotArea type="topRight" dataOnly="0" labelOnly="1" outline="0" fieldPosition="0"/>
    </format>
    <format dxfId="115">
      <pivotArea field="3" type="button" dataOnly="0" labelOnly="1" outline="0" axis="axisRow" fieldPosition="0"/>
    </format>
    <format dxfId="114">
      <pivotArea dataOnly="0" labelOnly="1" fieldPosition="0">
        <references count="1">
          <reference field="3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rowHeaderCaption="Bölüm" colHeaderCaption="AY">
  <location ref="B3:O25" firstHeaderRow="1" firstDataRow="2" firstDataCol="1"/>
  <pivotFields count="28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21">
        <item x="0"/>
        <item x="3"/>
        <item x="2"/>
        <item x="6"/>
        <item x="14"/>
        <item x="13"/>
        <item x="5"/>
        <item x="7"/>
        <item x="4"/>
        <item x="11"/>
        <item x="12"/>
        <item x="10"/>
        <item x="8"/>
        <item x="1"/>
        <item x="9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 defaultSubtotal="0"/>
    <pivotField showAll="0"/>
    <pivotField numFmtId="3" showAll="0"/>
    <pivotField numFmtId="3" showAll="0"/>
    <pivotField showAll="0"/>
    <pivotField numFmtId="2" showAll="0" defaultSubtotal="0"/>
    <pivotField numFmtId="1" showAll="0" defaultSubtota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Ortalama Net İşçilik Kapasite Kaybı %" fld="6" subtotal="average" baseField="3" baseItem="8"/>
  </dataFields>
  <formats count="19">
    <format dxfId="109">
      <pivotArea outline="0" collapsedLevelsAreSubtotals="1" fieldPosition="0"/>
    </format>
    <format dxfId="108">
      <pivotArea outline="0" collapsedLevelsAreSubtotals="1" fieldPosition="0"/>
    </format>
    <format dxfId="107">
      <pivotArea outline="0" collapsedLevelsAreSubtotals="1" fieldPosition="0"/>
    </format>
    <format dxfId="106">
      <pivotArea outline="0" collapsedLevelsAreSubtotals="1" fieldPosition="0"/>
    </format>
    <format dxfId="105">
      <pivotArea outline="0" collapsedLevelsAreSubtotals="1" fieldPosition="0"/>
    </format>
    <format dxfId="104">
      <pivotArea outline="0" collapsedLevelsAreSubtotals="1" fieldPosition="0"/>
    </format>
    <format dxfId="103">
      <pivotArea outline="0" collapsedLevelsAreSubtotals="1" fieldPosition="0"/>
    </format>
    <format dxfId="102">
      <pivotArea outline="0" collapsedLevelsAreSubtotals="1" fieldPosition="0"/>
    </format>
    <format dxfId="101">
      <pivotArea outline="0" collapsedLevelsAreSubtotals="1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0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3" type="button" dataOnly="0" labelOnly="1" outline="0" axis="axisRow" fieldPosition="0"/>
    </format>
    <format dxfId="94">
      <pivotArea dataOnly="0" labelOnly="1" fieldPosition="0">
        <references count="1">
          <reference field="3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2" cacheId="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rowHeaderCaption="Bölüm" colHeaderCaption="AY">
  <location ref="B3:O25" firstHeaderRow="1" firstDataRow="2" firstDataCol="1"/>
  <pivotFields count="28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21">
        <item x="0"/>
        <item x="3"/>
        <item x="2"/>
        <item x="6"/>
        <item x="14"/>
        <item x="13"/>
        <item x="5"/>
        <item x="7"/>
        <item x="4"/>
        <item x="11"/>
        <item x="12"/>
        <item x="10"/>
        <item x="8"/>
        <item x="1"/>
        <item x="9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 defaultSubtotal="0"/>
    <pivotField showAll="0"/>
    <pivotField numFmtId="3" showAll="0"/>
    <pivotField numFmtId="3" showAll="0"/>
    <pivotField showAll="0"/>
    <pivotField numFmtId="2" showAll="0" defaultSubtotal="0"/>
    <pivotField numFmtId="1" showAll="0" defaultSubtota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Ortalama Açklnmyn Süre %" fld="7" subtotal="average" baseField="3" baseItem="3"/>
  </dataFields>
  <formats count="19">
    <format dxfId="89">
      <pivotArea outline="0" collapsedLevelsAreSubtotals="1" fieldPosition="0"/>
    </format>
    <format dxfId="88">
      <pivotArea outline="0" collapsedLevelsAreSubtotals="1" fieldPosition="0"/>
    </format>
    <format dxfId="87">
      <pivotArea outline="0" collapsedLevelsAreSubtotals="1" fieldPosition="0"/>
    </format>
    <format dxfId="86">
      <pivotArea outline="0" collapsedLevelsAreSubtotals="1" fieldPosition="0"/>
    </format>
    <format dxfId="85">
      <pivotArea outline="0" collapsedLevelsAreSubtotals="1" fieldPosition="0"/>
    </format>
    <format dxfId="84">
      <pivotArea outline="0" collapsedLevelsAreSubtotals="1" fieldPosition="0"/>
    </format>
    <format dxfId="83">
      <pivotArea outline="0" collapsedLevelsAreSubtotals="1" fieldPosition="0"/>
    </format>
    <format dxfId="82">
      <pivotArea outline="0" collapsedLevelsAreSubtotals="1" fieldPosition="0"/>
    </format>
    <format dxfId="81">
      <pivotArea outline="0" collapsedLevelsAreSubtotals="1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0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3" type="button" dataOnly="0" labelOnly="1" outline="0" axis="axisRow" fieldPosition="0"/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2" cacheId="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rowHeaderCaption="Bölüm" colHeaderCaption="AY">
  <location ref="B4:O26" firstHeaderRow="1" firstDataRow="2" firstDataCol="1" rowPageCount="1" colPageCount="1"/>
  <pivotFields count="28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multipleItemSelectionAllowed="1" showAll="0">
      <items count="3">
        <item x="0"/>
        <item x="1"/>
        <item t="default"/>
      </items>
    </pivotField>
    <pivotField axis="axisRow" showAll="0">
      <items count="21">
        <item x="0"/>
        <item x="1"/>
        <item x="3"/>
        <item x="2"/>
        <item x="5"/>
        <item x="4"/>
        <item x="8"/>
        <item x="6"/>
        <item x="7"/>
        <item x="10"/>
        <item x="11"/>
        <item x="12"/>
        <item x="14"/>
        <item x="13"/>
        <item x="9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 defaultSubtotal="0"/>
    <pivotField showAll="0"/>
    <pivotField numFmtId="3" showAll="0"/>
    <pivotField numFmtId="3" showAll="0"/>
    <pivotField showAll="0"/>
    <pivotField numFmtId="2" showAll="0" defaultSubtotal="0"/>
    <pivotField numFmtId="1" showAll="0" defaultSubtota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Toplam Fazla Mesai Direkt" fld="25" baseField="0" baseItem="0"/>
  </dataFields>
  <formats count="19">
    <format dxfId="70">
      <pivotArea outline="0" collapsedLevelsAreSubtotals="1" fieldPosition="0"/>
    </format>
    <format dxfId="69">
      <pivotArea outline="0" collapsedLevelsAreSubtotals="1" fieldPosition="0"/>
    </format>
    <format dxfId="68">
      <pivotArea outline="0" collapsedLevelsAreSubtotals="1" fieldPosition="0"/>
    </format>
    <format dxfId="67">
      <pivotArea outline="0" collapsedLevelsAreSubtotals="1" fieldPosition="0"/>
    </format>
    <format dxfId="66">
      <pivotArea outline="0" collapsedLevelsAreSubtotals="1" fieldPosition="0"/>
    </format>
    <format dxfId="65">
      <pivotArea outline="0" collapsedLevelsAreSubtotals="1" fieldPosition="0"/>
    </format>
    <format dxfId="64">
      <pivotArea outline="0" collapsedLevelsAreSubtotals="1" fieldPosition="0"/>
    </format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0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3" type="button" dataOnly="0" labelOnly="1" outline="0" axis="axisRow" fieldPosition="0"/>
    </format>
    <format dxfId="55">
      <pivotArea dataOnly="0" labelOnly="1" fieldPosition="0">
        <references count="1">
          <reference field="3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rowHeaderCaption="Bölüm" colHeaderCaption="AY">
  <location ref="B4:O26" firstHeaderRow="1" firstDataRow="2" firstDataCol="1" rowPageCount="1" colPageCount="1"/>
  <pivotFields count="28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multipleItemSelectionAllowed="1" showAll="0">
      <items count="3">
        <item x="0"/>
        <item x="1"/>
        <item t="default"/>
      </items>
    </pivotField>
    <pivotField axis="axisRow" showAll="0">
      <items count="21">
        <item x="0"/>
        <item x="1"/>
        <item x="3"/>
        <item x="2"/>
        <item x="5"/>
        <item x="4"/>
        <item x="8"/>
        <item x="6"/>
        <item x="7"/>
        <item x="10"/>
        <item x="11"/>
        <item x="12"/>
        <item x="14"/>
        <item x="13"/>
        <item x="9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 defaultSubtotal="0"/>
    <pivotField showAll="0"/>
    <pivotField numFmtId="3" showAll="0"/>
    <pivotField numFmtId="3" showAll="0"/>
    <pivotField showAll="0"/>
    <pivotField numFmtId="2" showAll="0" defaultSubtotal="0"/>
    <pivotField numFmtId="1" showAll="0" defaultSubtota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dataField="1"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Toplam Fazla Mesai Endirekt" fld="26" baseField="0" baseItem="0"/>
  </dataFields>
  <formats count="25"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0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3" type="button" dataOnly="0" labelOnly="1" outline="0" axis="axisRow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Col="1" outline="0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3" cacheId="1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M21" firstHeaderRow="0" firstDataRow="1" firstDataCol="1"/>
  <pivotFields count="16">
    <pivotField axis="axisRow" showAll="0">
      <items count="18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Toplam Ocak" fld="3" baseField="0" baseItem="0"/>
    <dataField name="Toplam Şubat" fld="4" baseField="0" baseItem="0"/>
    <dataField name="Toplam Mart" fld="5" baseField="0" baseItem="0"/>
    <dataField name="Toplam Nisan" fld="6" baseField="0" baseItem="0"/>
    <dataField name="Toplam Mayıs" fld="7" baseField="0" baseItem="0"/>
    <dataField name="Toplam Haziran" fld="8" baseField="0" baseItem="0"/>
    <dataField name="Toplam Temmuz" fld="9" baseField="0" baseItem="0"/>
    <dataField name="Toplam Ağustos" fld="10" baseField="0" baseItem="0"/>
    <dataField name="Toplam Eylül" fld="11" baseField="0" baseItem="0"/>
    <dataField name="Toplam Ekim" fld="12" baseField="0" baseItem="0"/>
    <dataField name="Toplam Kasım" fld="13" baseField="0" baseItem="0"/>
    <dataField name="Toplam Aralık" fld="14" baseField="0" baseItem="0"/>
  </dataFields>
  <formats count="3"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1"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2" cacheId="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rowHeaderCaption="Bölüm" colHeaderCaption="AY">
  <location ref="B4:O26" firstHeaderRow="1" firstDataRow="2" firstDataCol="1" rowPageCount="1" colPageCount="1"/>
  <pivotFields count="28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multipleItemSelectionAllowed="1" showAll="0">
      <items count="3">
        <item x="0"/>
        <item x="1"/>
        <item t="default"/>
      </items>
    </pivotField>
    <pivotField axis="axisRow" showAll="0">
      <items count="21">
        <item x="0"/>
        <item x="1"/>
        <item x="3"/>
        <item x="2"/>
        <item x="5"/>
        <item x="4"/>
        <item x="8"/>
        <item x="6"/>
        <item x="7"/>
        <item x="10"/>
        <item x="11"/>
        <item x="12"/>
        <item x="14"/>
        <item x="13"/>
        <item x="9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 defaultSubtotal="0"/>
    <pivotField showAll="0"/>
    <pivotField numFmtId="3" showAll="0"/>
    <pivotField numFmtId="3" showAll="0"/>
    <pivotField dataField="1" showAll="0"/>
    <pivotField numFmtId="2" showAll="0" defaultSubtotal="0"/>
    <pivotField numFmtId="1" showAll="0" defaultSubtota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Toplam Fazla Mesai %" fld="11" baseField="0" baseItem="0"/>
  </dataFields>
  <formats count="24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0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>
        <references count="1">
          <reference field="0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">
      <pivotArea dataOnly="0" labelOnly="1" outline="0" fieldPosition="0">
        <references count="1">
          <reference field="2" count="0"/>
        </references>
      </pivotArea>
    </format>
    <format dxfId="2">
      <pivotArea field="0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Bölüm" xr10:uid="{00000000-0013-0000-FFFF-FFFF01000000}" sourceName="Bölüm">
  <pivotTables>
    <pivotTable tabId="18" name="PivotTable1"/>
  </pivotTables>
  <data>
    <tabular pivotCacheId="1">
      <items count="20">
        <i x="14" s="1"/>
        <i x="13" s="1"/>
        <i x="11"/>
        <i x="12" s="1"/>
        <i x="10"/>
        <i x="0" s="1" nd="1"/>
        <i x="3" s="1" nd="1"/>
        <i x="2" s="1" nd="1"/>
        <i x="6" s="1" nd="1"/>
        <i x="16" s="1" nd="1"/>
        <i x="18" s="1" nd="1"/>
        <i x="5" s="1" nd="1"/>
        <i x="7" s="1" nd="1"/>
        <i x="15" s="1" nd="1"/>
        <i x="19" s="1" nd="1"/>
        <i x="4" s="1" nd="1"/>
        <i x="8" s="1" nd="1"/>
        <i x="9" s="1" nd="1"/>
        <i x="17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Birim" xr10:uid="{00000000-0013-0000-FFFF-FFFF02000000}" sourceName="Birim">
  <pivotTables>
    <pivotTable tabId="18" name="PivotTable1"/>
  </pivotTables>
  <data>
    <tabular pivotCacheId="1">
      <items count="2">
        <i x="0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ölüm" xr10:uid="{00000000-0014-0000-FFFF-FFFF01000000}" cache="Dilimleyici_Bölüm" caption="Bölüm" rowHeight="234950"/>
  <slicer name="Birim" xr10:uid="{00000000-0014-0000-FFFF-FFFF02000000}" cache="Dilimleyici_Birim" caption="Birim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ölüm 1" xr10:uid="{00000000-0014-0000-FFFF-FFFF03000000}" cache="Dilimleyici_Bölüm" caption="Bölüm" rowHeight="234950"/>
  <slicer name="Birim 1" xr10:uid="{00000000-0014-0000-FFFF-FFFF04000000}" cache="Dilimleyici_Birim" caption="Birim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ölüm 2" xr10:uid="{00000000-0014-0000-FFFF-FFFF05000000}" cache="Dilimleyici_Bölüm" caption="Bölüm" rowHeight="234950"/>
  <slicer name="Birim 2" xr10:uid="{00000000-0014-0000-FFFF-FFFF06000000}" cache="Dilimleyici_Birim" caption="Birim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o2" displayName="Tablo2" ref="B2:Q804" totalsRowShown="0" headerRowDxfId="212" dataDxfId="211">
  <tableColumns count="16">
    <tableColumn id="17" xr3:uid="{00000000-0010-0000-0000-000011000000}" name="BÖLÜM" dataDxfId="210"/>
    <tableColumn id="2" xr3:uid="{00000000-0010-0000-0000-000002000000}" name="BEKLEME" dataDxfId="209"/>
    <tableColumn id="3" xr3:uid="{00000000-0010-0000-0000-000003000000}" name="SEBEP OLAN" dataDxfId="208"/>
    <tableColumn id="4" xr3:uid="{00000000-0010-0000-0000-000004000000}" name="Ocak" dataDxfId="207"/>
    <tableColumn id="20" xr3:uid="{00000000-0010-0000-0000-000014000000}" name="Şubat" dataDxfId="206"/>
    <tableColumn id="21" xr3:uid="{00000000-0010-0000-0000-000015000000}" name="Mart" dataDxfId="205"/>
    <tableColumn id="22" xr3:uid="{00000000-0010-0000-0000-000016000000}" name="Nisan" dataDxfId="204"/>
    <tableColumn id="23" xr3:uid="{00000000-0010-0000-0000-000017000000}" name="Mayıs" dataDxfId="203"/>
    <tableColumn id="24" xr3:uid="{00000000-0010-0000-0000-000018000000}" name="Haziran" dataDxfId="202"/>
    <tableColumn id="25" xr3:uid="{00000000-0010-0000-0000-000019000000}" name="Temmuz" dataDxfId="201"/>
    <tableColumn id="26" xr3:uid="{00000000-0010-0000-0000-00001A000000}" name="Ağustos" dataDxfId="200"/>
    <tableColumn id="27" xr3:uid="{00000000-0010-0000-0000-00001B000000}" name="Eylül" dataDxfId="199"/>
    <tableColumn id="28" xr3:uid="{00000000-0010-0000-0000-00001C000000}" name="Ekim" dataDxfId="198"/>
    <tableColumn id="29" xr3:uid="{00000000-0010-0000-0000-00001D000000}" name="Kasım" dataDxfId="197"/>
    <tableColumn id="30" xr3:uid="{00000000-0010-0000-0000-00001E000000}" name="Aralık" dataDxfId="196"/>
    <tableColumn id="31" xr3:uid="{00000000-0010-0000-0000-00001F000000}" name="Toplam" dataDxfId="195">
      <calculatedColumnFormula>SUM(Tablo2[[#This Row],[Ocak]:[Aralık]])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o142" displayName="Tablo142" ref="B4:AC204" totalsRowCount="1" headerRowDxfId="194" dataDxfId="192" totalsRowDxfId="190" headerRowBorderDxfId="193" tableBorderDxfId="191">
  <autoFilter ref="B4:AC203" xr:uid="{00000000-0009-0000-0100-000001000000}"/>
  <sortState ref="B19:AC33">
    <sortCondition ref="D19"/>
  </sortState>
  <tableColumns count="28">
    <tableColumn id="14" xr3:uid="{00000000-0010-0000-0100-00000E000000}" name="Ay" totalsRowLabel="Toplam" dataDxfId="189" totalsRowDxfId="188"/>
    <tableColumn id="32" xr3:uid="{00000000-0010-0000-0100-000020000000}" name="Fabrika" totalsRowFunction="custom" totalsRowDxfId="187">
      <totalsRowFormula>C30</totalsRowFormula>
    </tableColumn>
    <tableColumn id="72" xr3:uid="{00000000-0010-0000-0100-000048000000}" name="Birim" totalsRowLabel="Tüm" totalsRowDxfId="186"/>
    <tableColumn id="3" xr3:uid="{00000000-0010-0000-0100-000003000000}" name="Bölüm" totalsRowLabel="Tüm" totalsRowDxfId="185"/>
    <tableColumn id="13" xr3:uid="{00000000-0010-0000-0100-00000D000000}" name="Kapasite" totalsRowFunction="custom" dataDxfId="184" totalsRowDxfId="183">
      <calculatedColumnFormula>Tablo142[[#This Row],[Verimlilik
%]]+Tablo142[[#This Row],[Net İşçilik Kapasite Kaybı %]]</calculatedColumnFormula>
      <totalsRowFormula>Tablo142[[#Totals],[Verimlilik
%]]+Tablo142[[#Totals],[Net İşçilik Kapasite Kaybı %]]</totalsRowFormula>
    </tableColumn>
    <tableColumn id="16" xr3:uid="{00000000-0010-0000-0100-000010000000}" name="Verimlilik_x000a_%" totalsRowFunction="custom" dataDxfId="182" totalsRowDxfId="181">
      <calculatedColumnFormula>(AC5+X5)/K5*100</calculatedColumnFormula>
      <totalsRowFormula>AC204/K204*100</totalsRowFormula>
    </tableColumn>
    <tableColumn id="7" xr3:uid="{00000000-0010-0000-0100-000007000000}" name="Net İşçilik Kapasite Kaybı %" totalsRowFunction="custom" dataDxfId="180" totalsRowDxfId="179">
      <calculatedColumnFormula>Tablo142[[#This Row],[Duruş]]/Tablo142[[#This Row],[Net Kapasite Direkt]]*100</calculatedColumnFormula>
      <totalsRowFormula>Tablo142[[#Totals],[Duruş]]/Tablo142[[#Totals],[Net Kapasite Direkt]]*100</totalsRowFormula>
    </tableColumn>
    <tableColumn id="4" xr3:uid="{00000000-0010-0000-0100-000004000000}" name="Açklnmyn Süre %" totalsRowFunction="custom" dataDxfId="178" totalsRowDxfId="177">
      <calculatedColumnFormula>(Tablo142[[#This Row],[Net Kapasite Direkt]]-Tablo142[[#This Row],[Toplam Girilen İşçilik]])/Tablo142[[#This Row],[Net Kapasite Direkt]]*100</calculatedColumnFormula>
      <totalsRowFormula>(Tablo142[[#Totals],[Net Kapasite Direkt]]-Tablo142[[#Totals],[Toplam Girilen İşçilik]])/Tablo142[[#Totals],[Net Kapasite Direkt]]*100</totalsRowFormula>
    </tableColumn>
    <tableColumn id="1" xr3:uid="{00000000-0010-0000-0100-000001000000}" name="Brüt Kapasite Kaybı  % " totalsRowFunction="custom" dataDxfId="176" totalsRowDxfId="175">
      <totalsRowFormula>(#REF!+#REF!)/(T204+U204)*100</totalsRowFormula>
    </tableColumn>
    <tableColumn id="11" xr3:uid="{00000000-0010-0000-0100-00000B000000}" name="Net Kapasite Direkt" totalsRowFunction="custom" dataDxfId="174" totalsRowDxfId="173">
      <totalsRowFormula>T204-#REF!</totalsRowFormula>
    </tableColumn>
    <tableColumn id="12" xr3:uid="{00000000-0010-0000-0100-00000C000000}" name="Net Kapasite Endirekt" totalsRowFunction="custom" dataDxfId="172" totalsRowDxfId="171">
      <totalsRowFormula>U204-#REF!</totalsRowFormula>
    </tableColumn>
    <tableColumn id="2" xr3:uid="{00000000-0010-0000-0100-000002000000}" name="Fazla Mesai %" totalsRowFunction="custom" dataDxfId="170" totalsRowDxfId="169">
      <totalsRowFormula>(AA204+AB204)/(Y204+Z204)*100</totalsRowFormula>
    </tableColumn>
    <tableColumn id="9" xr3:uid="{00000000-0010-0000-0100-000009000000}" name="Ödünç + Üretilen Değer" dataDxfId="168" totalsRowDxfId="167">
      <calculatedColumnFormula>Tablo142[[#This Row],[Ödünç İşçilik]]+Tablo142[[#This Row],[Üretilen Değer (Sap Verisi)]]</calculatedColumnFormula>
    </tableColumn>
    <tableColumn id="8" xr3:uid="{00000000-0010-0000-0100-000008000000}" name="Duruş" totalsRowFunction="custom" dataDxfId="166" totalsRowDxfId="165">
      <totalsRowFormula>SUM(O5:O203)</totalsRowFormula>
    </tableColumn>
    <tableColumn id="5" xr3:uid="{00000000-0010-0000-0100-000005000000}" name="Toplam Girilen İşçilik" totalsRowFunction="custom" dataDxfId="164" totalsRowDxfId="163">
      <totalsRowFormula>AC204+O204</totalsRowFormula>
    </tableColumn>
    <tableColumn id="6" xr3:uid="{00000000-0010-0000-0100-000006000000}" name="Fark (PDKS - Toplam Üretilen Değer)" totalsRowFunction="custom" dataDxfId="162" totalsRowDxfId="161">
      <totalsRowFormula>K204-P204</totalsRowFormula>
    </tableColumn>
    <tableColumn id="10" xr3:uid="{00000000-0010-0000-0100-00000A000000}" name="Operatör_x000a_Direkt" totalsRowFunction="custom" dataDxfId="160" totalsRowDxfId="159">
      <totalsRowFormula>SUM(R5:R203)</totalsRowFormula>
    </tableColumn>
    <tableColumn id="19" xr3:uid="{00000000-0010-0000-0100-000013000000}" name="Operatör Endirekt" totalsRowFunction="custom" dataDxfId="158" totalsRowDxfId="157">
      <totalsRowFormula>SUM(S5:S203)</totalsRowFormula>
    </tableColumn>
    <tableColumn id="21" xr3:uid="{00000000-0010-0000-0100-000015000000}" name="Brüt Kapasite (Saat) Direkt" totalsRowFunction="custom" dataDxfId="156" totalsRowDxfId="155">
      <totalsRowFormula>SUM(T5:T203)</totalsRowFormula>
    </tableColumn>
    <tableColumn id="23" xr3:uid="{00000000-0010-0000-0100-000017000000}" name="Brüt Kapasite (Saat) Endirekt" totalsRowFunction="custom" dataDxfId="154" totalsRowDxfId="153">
      <totalsRowFormula>SUM(U5:U203)</totalsRowFormula>
    </tableColumn>
    <tableColumn id="24" xr3:uid="{00000000-0010-0000-0100-000018000000}" name="İzin / Rapor Direkt" totalsRowFunction="custom" dataDxfId="152" totalsRowDxfId="151">
      <totalsRowFormula>SUM(V5:V203)</totalsRowFormula>
    </tableColumn>
    <tableColumn id="25" xr3:uid="{00000000-0010-0000-0100-000019000000}" name="İzin / Rapor Endirekt" totalsRowFunction="custom" dataDxfId="150" totalsRowDxfId="149">
      <totalsRowFormula>SUM(W5:W203)</totalsRowFormula>
    </tableColumn>
    <tableColumn id="26" xr3:uid="{00000000-0010-0000-0100-00001A000000}" name="Ödünç İşçilik" totalsRowFunction="custom" dataDxfId="148" totalsRowDxfId="147">
      <totalsRowFormula>SUM(X5:X203)</totalsRowFormula>
    </tableColumn>
    <tableColumn id="27" xr3:uid="{00000000-0010-0000-0100-00001B000000}" name="Normal Mesai Direkt" totalsRowFunction="custom" dataDxfId="146" totalsRowDxfId="145">
      <totalsRowFormula>SUM(Y5:Y203)</totalsRowFormula>
    </tableColumn>
    <tableColumn id="28" xr3:uid="{00000000-0010-0000-0100-00001C000000}" name="Normal Mesai Endirekt" totalsRowFunction="custom" dataDxfId="144" totalsRowDxfId="143">
      <totalsRowFormula>SUM(Z5:Z203)</totalsRowFormula>
    </tableColumn>
    <tableColumn id="29" xr3:uid="{00000000-0010-0000-0100-00001D000000}" name="Fazla Mesai Direkt" totalsRowFunction="custom" dataDxfId="142" totalsRowDxfId="141">
      <totalsRowFormula>SUM(AA5:AA203)</totalsRowFormula>
    </tableColumn>
    <tableColumn id="30" xr3:uid="{00000000-0010-0000-0100-00001E000000}" name="Fazla Mesai Endirekt" totalsRowFunction="custom" dataDxfId="140" totalsRowDxfId="139">
      <totalsRowFormula>SUM(AB5:AB203)</totalsRowFormula>
    </tableColumn>
    <tableColumn id="31" xr3:uid="{00000000-0010-0000-0100-00001F000000}" name="Üretilen Değer (Sap Verisi)" totalsRowFunction="custom" dataDxfId="138" totalsRowDxfId="137">
      <calculatedColumnFormula>Sayfa1!E49</calculatedColumnFormula>
      <totalsRowFormula>SUM(AC5:AC203)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E52"/>
  <sheetViews>
    <sheetView showGridLines="0" workbookViewId="0">
      <selection activeCell="A6" sqref="A6"/>
    </sheetView>
  </sheetViews>
  <sheetFormatPr defaultColWidth="8.88671875" defaultRowHeight="14.4" x14ac:dyDescent="0.3"/>
  <cols>
    <col min="1" max="1" width="11.6640625" style="54" bestFit="1" customWidth="1"/>
    <col min="2" max="2" width="16.5546875" style="54" customWidth="1"/>
    <col min="3" max="3" width="32.33203125" style="54" bestFit="1" customWidth="1"/>
    <col min="4" max="4" width="21.44140625" style="54" bestFit="1" customWidth="1"/>
    <col min="5" max="5" width="9.109375" customWidth="1"/>
    <col min="6" max="16384" width="8.88671875" style="54"/>
  </cols>
  <sheetData>
    <row r="1" spans="1:4" x14ac:dyDescent="0.3">
      <c r="A1" s="55" t="s">
        <v>0</v>
      </c>
      <c r="B1" s="55" t="s">
        <v>1</v>
      </c>
      <c r="C1" s="55" t="s">
        <v>2</v>
      </c>
      <c r="D1" s="55" t="s">
        <v>3</v>
      </c>
    </row>
    <row r="2" spans="1:4" x14ac:dyDescent="0.3">
      <c r="A2" s="54" t="s">
        <v>4</v>
      </c>
      <c r="B2" s="54" t="s">
        <v>5</v>
      </c>
      <c r="C2" s="54" t="s">
        <v>6</v>
      </c>
      <c r="D2" s="54" t="s">
        <v>7</v>
      </c>
    </row>
    <row r="3" spans="1:4" x14ac:dyDescent="0.3">
      <c r="A3" s="54" t="s">
        <v>8</v>
      </c>
      <c r="B3" s="54" t="s">
        <v>9</v>
      </c>
      <c r="C3" s="54" t="s">
        <v>10</v>
      </c>
      <c r="D3" s="54" t="s">
        <v>11</v>
      </c>
    </row>
    <row r="4" spans="1:4" x14ac:dyDescent="0.3">
      <c r="A4" s="54" t="s">
        <v>12</v>
      </c>
      <c r="B4" s="54" t="s">
        <v>13</v>
      </c>
      <c r="C4" s="54" t="s">
        <v>14</v>
      </c>
      <c r="D4" s="54" t="s">
        <v>15</v>
      </c>
    </row>
    <row r="5" spans="1:4" x14ac:dyDescent="0.3">
      <c r="A5" s="54" t="s">
        <v>16</v>
      </c>
      <c r="B5" s="54" t="s">
        <v>17</v>
      </c>
      <c r="C5" s="54" t="s">
        <v>18</v>
      </c>
      <c r="D5" s="54" t="s">
        <v>19</v>
      </c>
    </row>
    <row r="6" spans="1:4" x14ac:dyDescent="0.3">
      <c r="A6" s="54" t="s">
        <v>1011</v>
      </c>
      <c r="B6" s="54" t="s">
        <v>20</v>
      </c>
      <c r="C6" s="54" t="s">
        <v>21</v>
      </c>
      <c r="D6" s="54" t="s">
        <v>22</v>
      </c>
    </row>
    <row r="7" spans="1:4" x14ac:dyDescent="0.3">
      <c r="B7" s="54" t="s">
        <v>23</v>
      </c>
      <c r="C7" s="54" t="s">
        <v>24</v>
      </c>
      <c r="D7" s="54" t="s">
        <v>25</v>
      </c>
    </row>
    <row r="8" spans="1:4" x14ac:dyDescent="0.3">
      <c r="B8" s="54" t="s">
        <v>26</v>
      </c>
      <c r="C8" s="54" t="s">
        <v>27</v>
      </c>
      <c r="D8" s="54" t="s">
        <v>28</v>
      </c>
    </row>
    <row r="9" spans="1:4" x14ac:dyDescent="0.3">
      <c r="B9" s="54" t="s">
        <v>29</v>
      </c>
      <c r="C9" s="54" t="s">
        <v>30</v>
      </c>
      <c r="D9" s="54" t="s">
        <v>31</v>
      </c>
    </row>
    <row r="10" spans="1:4" x14ac:dyDescent="0.3">
      <c r="B10" s="54" t="s">
        <v>32</v>
      </c>
      <c r="C10" s="54" t="s">
        <v>33</v>
      </c>
      <c r="D10" s="54" t="s">
        <v>34</v>
      </c>
    </row>
    <row r="11" spans="1:4" x14ac:dyDescent="0.3">
      <c r="B11" s="54" t="s">
        <v>35</v>
      </c>
      <c r="C11" s="54" t="s">
        <v>36</v>
      </c>
      <c r="D11" s="54" t="s">
        <v>37</v>
      </c>
    </row>
    <row r="12" spans="1:4" x14ac:dyDescent="0.3">
      <c r="B12" s="54" t="s">
        <v>25</v>
      </c>
      <c r="C12" s="54" t="s">
        <v>38</v>
      </c>
      <c r="D12" s="54" t="s">
        <v>39</v>
      </c>
    </row>
    <row r="13" spans="1:4" x14ac:dyDescent="0.3">
      <c r="B13" s="54" t="s">
        <v>40</v>
      </c>
      <c r="C13" s="54" t="s">
        <v>41</v>
      </c>
      <c r="D13" s="54" t="s">
        <v>42</v>
      </c>
    </row>
    <row r="14" spans="1:4" x14ac:dyDescent="0.3">
      <c r="B14" s="54" t="s">
        <v>43</v>
      </c>
      <c r="C14" s="54" t="s">
        <v>44</v>
      </c>
      <c r="D14" s="54" t="s">
        <v>45</v>
      </c>
    </row>
    <row r="15" spans="1:4" x14ac:dyDescent="0.3">
      <c r="B15" s="54" t="s">
        <v>46</v>
      </c>
      <c r="C15" s="54" t="s">
        <v>47</v>
      </c>
      <c r="D15" s="54" t="s">
        <v>48</v>
      </c>
    </row>
    <row r="16" spans="1:4" x14ac:dyDescent="0.3">
      <c r="C16" s="54" t="s">
        <v>49</v>
      </c>
      <c r="D16" s="54" t="s">
        <v>50</v>
      </c>
    </row>
    <row r="17" spans="2:4" x14ac:dyDescent="0.3">
      <c r="B17"/>
      <c r="C17" s="54" t="s">
        <v>51</v>
      </c>
      <c r="D17" s="54" t="s">
        <v>7</v>
      </c>
    </row>
    <row r="18" spans="2:4" x14ac:dyDescent="0.3">
      <c r="B18"/>
      <c r="C18" s="54" t="s">
        <v>52</v>
      </c>
      <c r="D18" s="54" t="s">
        <v>11</v>
      </c>
    </row>
    <row r="19" spans="2:4" x14ac:dyDescent="0.3">
      <c r="B19"/>
      <c r="C19" s="54" t="s">
        <v>53</v>
      </c>
      <c r="D19" s="54" t="s">
        <v>15</v>
      </c>
    </row>
    <row r="20" spans="2:4" x14ac:dyDescent="0.3">
      <c r="B20"/>
      <c r="C20" s="54" t="s">
        <v>54</v>
      </c>
      <c r="D20" s="54" t="s">
        <v>19</v>
      </c>
    </row>
    <row r="21" spans="2:4" x14ac:dyDescent="0.3">
      <c r="B21"/>
      <c r="C21" s="54" t="s">
        <v>55</v>
      </c>
      <c r="D21" s="54" t="s">
        <v>22</v>
      </c>
    </row>
    <row r="22" spans="2:4" x14ac:dyDescent="0.3">
      <c r="B22"/>
      <c r="C22" s="54" t="s">
        <v>56</v>
      </c>
      <c r="D22" s="54" t="s">
        <v>25</v>
      </c>
    </row>
    <row r="23" spans="2:4" x14ac:dyDescent="0.3">
      <c r="B23"/>
      <c r="C23" s="54" t="s">
        <v>57</v>
      </c>
      <c r="D23" s="54" t="s">
        <v>28</v>
      </c>
    </row>
    <row r="24" spans="2:4" x14ac:dyDescent="0.3">
      <c r="B24"/>
      <c r="D24" s="54" t="s">
        <v>31</v>
      </c>
    </row>
    <row r="25" spans="2:4" x14ac:dyDescent="0.3">
      <c r="B25"/>
      <c r="C25"/>
      <c r="D25" s="54" t="s">
        <v>34</v>
      </c>
    </row>
    <row r="26" spans="2:4" x14ac:dyDescent="0.3">
      <c r="B26"/>
      <c r="C26"/>
      <c r="D26" s="54" t="s">
        <v>37</v>
      </c>
    </row>
    <row r="27" spans="2:4" x14ac:dyDescent="0.3">
      <c r="B27"/>
      <c r="C27"/>
      <c r="D27" s="54" t="s">
        <v>39</v>
      </c>
    </row>
    <row r="28" spans="2:4" x14ac:dyDescent="0.3">
      <c r="B28"/>
      <c r="C28"/>
      <c r="D28" s="54" t="s">
        <v>42</v>
      </c>
    </row>
    <row r="29" spans="2:4" x14ac:dyDescent="0.3">
      <c r="B29"/>
      <c r="C29"/>
      <c r="D29" s="54" t="s">
        <v>45</v>
      </c>
    </row>
    <row r="30" spans="2:4" x14ac:dyDescent="0.3">
      <c r="B30"/>
      <c r="C30"/>
      <c r="D30" s="54" t="s">
        <v>48</v>
      </c>
    </row>
    <row r="31" spans="2:4" x14ac:dyDescent="0.3">
      <c r="B31"/>
      <c r="C31"/>
      <c r="D31" s="54" t="s">
        <v>50</v>
      </c>
    </row>
    <row r="32" spans="2:4" x14ac:dyDescent="0.3">
      <c r="B32"/>
      <c r="C32"/>
    </row>
    <row r="33" spans="2:3" x14ac:dyDescent="0.3">
      <c r="B33"/>
      <c r="C33"/>
    </row>
    <row r="34" spans="2:3" x14ac:dyDescent="0.3">
      <c r="B34"/>
      <c r="C34"/>
    </row>
    <row r="35" spans="2:3" x14ac:dyDescent="0.3">
      <c r="B35"/>
      <c r="C35"/>
    </row>
    <row r="36" spans="2:3" x14ac:dyDescent="0.3">
      <c r="B36"/>
      <c r="C36"/>
    </row>
    <row r="37" spans="2:3" x14ac:dyDescent="0.3">
      <c r="B37"/>
      <c r="C37"/>
    </row>
    <row r="38" spans="2:3" x14ac:dyDescent="0.3">
      <c r="B38"/>
      <c r="C38"/>
    </row>
    <row r="39" spans="2:3" x14ac:dyDescent="0.3">
      <c r="B39"/>
      <c r="C39"/>
    </row>
    <row r="40" spans="2:3" x14ac:dyDescent="0.3">
      <c r="B40"/>
      <c r="C40"/>
    </row>
    <row r="41" spans="2:3" x14ac:dyDescent="0.3">
      <c r="B41"/>
      <c r="C41"/>
    </row>
    <row r="42" spans="2:3" x14ac:dyDescent="0.3">
      <c r="B42"/>
      <c r="C42"/>
    </row>
    <row r="43" spans="2:3" x14ac:dyDescent="0.3">
      <c r="B43"/>
      <c r="C43"/>
    </row>
    <row r="44" spans="2:3" x14ac:dyDescent="0.3">
      <c r="B44"/>
      <c r="C44"/>
    </row>
    <row r="45" spans="2:3" x14ac:dyDescent="0.3">
      <c r="B45"/>
      <c r="C45"/>
    </row>
    <row r="46" spans="2:3" x14ac:dyDescent="0.3">
      <c r="B46"/>
      <c r="C46"/>
    </row>
    <row r="47" spans="2:3" x14ac:dyDescent="0.3">
      <c r="B47"/>
      <c r="C47"/>
    </row>
    <row r="48" spans="2:3" x14ac:dyDescent="0.3">
      <c r="B48"/>
      <c r="C48"/>
    </row>
    <row r="49" spans="2:3" x14ac:dyDescent="0.3">
      <c r="B49"/>
      <c r="C49"/>
    </row>
    <row r="50" spans="2:3" x14ac:dyDescent="0.3">
      <c r="B50"/>
      <c r="C50"/>
    </row>
    <row r="51" spans="2:3" x14ac:dyDescent="0.3">
      <c r="B51"/>
      <c r="C51"/>
    </row>
    <row r="52" spans="2:3" x14ac:dyDescent="0.3">
      <c r="B52"/>
      <c r="C52"/>
    </row>
  </sheetData>
  <pageMargins left="0.7" right="0.7" top="0.75" bottom="0.75" header="0.3" footer="0.3"/>
  <pageSetup paperSize="9" orientation="portrait" r:id="rId1"/>
  <headerFooter differentFirst="1">
    <oddFooter>&amp;C&amp;"verdana,Regular"&amp;8Kurum İçi | Internal \  Kişisel Veri İçermez | Contains No Personal Data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ayfa10">
    <tabColor rgb="FFFFFF00"/>
  </sheetPr>
  <dimension ref="B3:O25"/>
  <sheetViews>
    <sheetView showGridLines="0" zoomScale="80" zoomScaleNormal="80" workbookViewId="0">
      <selection activeCell="J10" sqref="J10"/>
    </sheetView>
  </sheetViews>
  <sheetFormatPr defaultColWidth="8.88671875" defaultRowHeight="13.95" customHeight="1" x14ac:dyDescent="0.3"/>
  <cols>
    <col min="1" max="1" width="1.5546875" style="80" customWidth="1"/>
    <col min="2" max="2" width="32.33203125" style="80" bestFit="1" customWidth="1"/>
    <col min="3" max="6" width="5.5546875" style="80" bestFit="1" customWidth="1"/>
    <col min="7" max="7" width="5.77734375" style="80" bestFit="1" customWidth="1"/>
    <col min="8" max="8" width="7.109375" style="80" bestFit="1" customWidth="1"/>
    <col min="9" max="9" width="7.88671875" style="80" bestFit="1" customWidth="1"/>
    <col min="10" max="10" width="7.33203125" style="80" bestFit="1" customWidth="1"/>
    <col min="11" max="11" width="4.77734375" style="80" bestFit="1" customWidth="1"/>
    <col min="12" max="14" width="8.33203125" style="80" bestFit="1" customWidth="1"/>
    <col min="15" max="15" width="12.21875" style="80" bestFit="1" customWidth="1"/>
    <col min="16" max="16" width="24.88671875" style="80" customWidth="1"/>
    <col min="17" max="16384" width="8.88671875" style="80"/>
  </cols>
  <sheetData>
    <row r="3" spans="2:15" ht="13.95" customHeight="1" x14ac:dyDescent="0.3">
      <c r="B3" s="79" t="s">
        <v>148</v>
      </c>
      <c r="C3" s="79" t="s">
        <v>147</v>
      </c>
    </row>
    <row r="4" spans="2:15" ht="13.95" customHeight="1" x14ac:dyDescent="0.3">
      <c r="B4" s="79" t="s">
        <v>84</v>
      </c>
      <c r="C4" s="80" t="s">
        <v>107</v>
      </c>
      <c r="D4" s="80" t="s">
        <v>109</v>
      </c>
      <c r="E4" s="80" t="s">
        <v>110</v>
      </c>
      <c r="F4" s="80" t="s">
        <v>111</v>
      </c>
      <c r="G4" s="80" t="s">
        <v>112</v>
      </c>
      <c r="H4" s="80" t="s">
        <v>113</v>
      </c>
      <c r="I4" s="80" t="s">
        <v>114</v>
      </c>
      <c r="J4" s="80" t="s">
        <v>115</v>
      </c>
      <c r="K4" s="80" t="s">
        <v>116</v>
      </c>
      <c r="L4" s="80" t="s">
        <v>117</v>
      </c>
      <c r="M4" s="80" t="s">
        <v>118</v>
      </c>
      <c r="N4" s="80" t="s">
        <v>119</v>
      </c>
      <c r="O4" s="80" t="s">
        <v>128</v>
      </c>
    </row>
    <row r="5" spans="2:15" ht="25.2" customHeight="1" x14ac:dyDescent="0.3">
      <c r="B5" s="81" t="s">
        <v>5</v>
      </c>
      <c r="C5" s="82">
        <v>33.009211873080858</v>
      </c>
      <c r="D5" s="82">
        <v>0</v>
      </c>
      <c r="E5" s="82">
        <v>0</v>
      </c>
      <c r="F5" s="82">
        <v>1.5392020181902675</v>
      </c>
      <c r="G5" s="82">
        <v>0</v>
      </c>
      <c r="H5" s="82">
        <v>1.6184735684613503</v>
      </c>
      <c r="I5" s="82">
        <v>0.37209126624357813</v>
      </c>
      <c r="J5" s="82">
        <v>1.806768729845653</v>
      </c>
      <c r="K5" s="82">
        <v>2.6314064752916506</v>
      </c>
      <c r="L5" s="82" t="e">
        <v>#DIV/0!</v>
      </c>
      <c r="M5" s="82" t="e">
        <v>#DIV/0!</v>
      </c>
      <c r="N5" s="82" t="e">
        <v>#DIV/0!</v>
      </c>
      <c r="O5" s="82" t="e">
        <v>#DIV/0!</v>
      </c>
    </row>
    <row r="6" spans="2:15" ht="25.2" customHeight="1" x14ac:dyDescent="0.3">
      <c r="B6" s="81" t="s">
        <v>9</v>
      </c>
      <c r="C6" s="82">
        <v>3.1247237691151772</v>
      </c>
      <c r="D6" s="82">
        <v>1.9043704617070834</v>
      </c>
      <c r="E6" s="82">
        <v>8.703670113066087</v>
      </c>
      <c r="F6" s="82">
        <v>26.240012060907581</v>
      </c>
      <c r="G6" s="82">
        <v>18.80800464037123</v>
      </c>
      <c r="H6" s="82">
        <v>0</v>
      </c>
      <c r="I6" s="82">
        <v>11.386687121793232</v>
      </c>
      <c r="J6" s="82">
        <v>15.778748180494903</v>
      </c>
      <c r="K6" s="82">
        <v>0</v>
      </c>
      <c r="L6" s="82" t="e">
        <v>#DIV/0!</v>
      </c>
      <c r="M6" s="82" t="e">
        <v>#DIV/0!</v>
      </c>
      <c r="N6" s="82" t="e">
        <v>#DIV/0!</v>
      </c>
      <c r="O6" s="82" t="e">
        <v>#DIV/0!</v>
      </c>
    </row>
    <row r="7" spans="2:15" ht="25.2" customHeight="1" x14ac:dyDescent="0.3">
      <c r="B7" s="81" t="s">
        <v>13</v>
      </c>
      <c r="C7" s="82">
        <v>4.5549153602215373</v>
      </c>
      <c r="D7" s="82">
        <v>1.1800110873524985</v>
      </c>
      <c r="E7" s="82">
        <v>4.715769003715665</v>
      </c>
      <c r="F7" s="82">
        <v>0</v>
      </c>
      <c r="G7" s="82">
        <v>0</v>
      </c>
      <c r="H7" s="82">
        <v>0</v>
      </c>
      <c r="I7" s="82">
        <v>10.876871371830125</v>
      </c>
      <c r="J7" s="82">
        <v>7.4282688234161371</v>
      </c>
      <c r="K7" s="82">
        <v>9.1890650126349643E-2</v>
      </c>
      <c r="L7" s="82" t="e">
        <v>#DIV/0!</v>
      </c>
      <c r="M7" s="82" t="e">
        <v>#DIV/0!</v>
      </c>
      <c r="N7" s="82" t="e">
        <v>#DIV/0!</v>
      </c>
      <c r="O7" s="82" t="e">
        <v>#DIV/0!</v>
      </c>
    </row>
    <row r="8" spans="2:15" ht="25.2" customHeight="1" x14ac:dyDescent="0.3">
      <c r="B8" s="81" t="s">
        <v>17</v>
      </c>
      <c r="C8" s="82">
        <v>10.485069585191191</v>
      </c>
      <c r="D8" s="82">
        <v>6.3583530338849492</v>
      </c>
      <c r="E8" s="82">
        <v>4.7454166111776974</v>
      </c>
      <c r="F8" s="82">
        <v>3.9302961540699366</v>
      </c>
      <c r="G8" s="82">
        <v>0.77814283243991</v>
      </c>
      <c r="H8" s="82">
        <v>2.1958243340532757</v>
      </c>
      <c r="I8" s="82">
        <v>0</v>
      </c>
      <c r="J8" s="82">
        <v>0</v>
      </c>
      <c r="K8" s="82">
        <v>4.401331073020657</v>
      </c>
      <c r="L8" s="82" t="e">
        <v>#DIV/0!</v>
      </c>
      <c r="M8" s="82" t="e">
        <v>#DIV/0!</v>
      </c>
      <c r="N8" s="82" t="e">
        <v>#DIV/0!</v>
      </c>
      <c r="O8" s="82" t="e">
        <v>#DIV/0!</v>
      </c>
    </row>
    <row r="9" spans="2:15" ht="25.2" customHeight="1" x14ac:dyDescent="0.3">
      <c r="B9" s="81" t="s">
        <v>20</v>
      </c>
      <c r="C9" s="82">
        <v>0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 t="e">
        <v>#DIV/0!</v>
      </c>
      <c r="M9" s="82" t="e">
        <v>#DIV/0!</v>
      </c>
      <c r="N9" s="82" t="e">
        <v>#DIV/0!</v>
      </c>
      <c r="O9" s="82" t="e">
        <v>#DIV/0!</v>
      </c>
    </row>
    <row r="10" spans="2:15" ht="25.2" customHeight="1" x14ac:dyDescent="0.3">
      <c r="B10" s="81" t="s">
        <v>23</v>
      </c>
      <c r="C10" s="82"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 t="e">
        <v>#DIV/0!</v>
      </c>
      <c r="M10" s="82" t="e">
        <v>#DIV/0!</v>
      </c>
      <c r="N10" s="82" t="e">
        <v>#DIV/0!</v>
      </c>
      <c r="O10" s="82" t="e">
        <v>#DIV/0!</v>
      </c>
    </row>
    <row r="11" spans="2:15" ht="25.2" customHeight="1" x14ac:dyDescent="0.3">
      <c r="B11" s="81" t="s">
        <v>26</v>
      </c>
      <c r="C11" s="82">
        <v>11.17213504517356</v>
      </c>
      <c r="D11" s="82">
        <v>12.319543201896144</v>
      </c>
      <c r="E11" s="82">
        <v>13.234361487460363</v>
      </c>
      <c r="F11" s="82">
        <v>15.363408521303256</v>
      </c>
      <c r="G11" s="82">
        <v>25.026026604973971</v>
      </c>
      <c r="H11" s="82">
        <v>13.26272162099931</v>
      </c>
      <c r="I11" s="82">
        <v>27.431280758612409</v>
      </c>
      <c r="J11" s="82">
        <v>8.7475655430711612</v>
      </c>
      <c r="K11" s="82">
        <v>8.6241319444444446</v>
      </c>
      <c r="L11" s="82" t="e">
        <v>#DIV/0!</v>
      </c>
      <c r="M11" s="82" t="e">
        <v>#DIV/0!</v>
      </c>
      <c r="N11" s="82" t="e">
        <v>#DIV/0!</v>
      </c>
      <c r="O11" s="82" t="e">
        <v>#DIV/0!</v>
      </c>
    </row>
    <row r="12" spans="2:15" ht="25.2" customHeight="1" x14ac:dyDescent="0.3">
      <c r="B12" s="81" t="s">
        <v>29</v>
      </c>
      <c r="C12" s="82">
        <v>0</v>
      </c>
      <c r="D12" s="82">
        <v>0</v>
      </c>
      <c r="E12" s="82">
        <v>0</v>
      </c>
      <c r="F12" s="82">
        <v>4.129751357530723</v>
      </c>
      <c r="G12" s="82">
        <v>0.55965706120504877</v>
      </c>
      <c r="H12" s="82">
        <v>3.8542134411016309</v>
      </c>
      <c r="I12" s="82">
        <v>0</v>
      </c>
      <c r="J12" s="82">
        <v>0</v>
      </c>
      <c r="K12" s="82">
        <v>7.9125433477120861</v>
      </c>
      <c r="L12" s="82" t="e">
        <v>#DIV/0!</v>
      </c>
      <c r="M12" s="82" t="e">
        <v>#DIV/0!</v>
      </c>
      <c r="N12" s="82" t="e">
        <v>#DIV/0!</v>
      </c>
      <c r="O12" s="82" t="e">
        <v>#DIV/0!</v>
      </c>
    </row>
    <row r="13" spans="2:15" ht="25.2" customHeight="1" x14ac:dyDescent="0.3">
      <c r="B13" s="81" t="s">
        <v>32</v>
      </c>
      <c r="C13" s="82">
        <v>0</v>
      </c>
      <c r="D13" s="82">
        <v>0</v>
      </c>
      <c r="E13" s="82">
        <v>0.26715645349807982</v>
      </c>
      <c r="F13" s="82">
        <v>0</v>
      </c>
      <c r="G13" s="82">
        <v>0</v>
      </c>
      <c r="H13" s="82"/>
      <c r="I13" s="82"/>
      <c r="J13" s="82"/>
      <c r="K13" s="82"/>
      <c r="L13" s="82"/>
      <c r="M13" s="82"/>
      <c r="N13" s="82"/>
      <c r="O13" s="82">
        <v>5.3431290699615962E-2</v>
      </c>
    </row>
    <row r="14" spans="2:15" ht="25.2" customHeight="1" x14ac:dyDescent="0.3">
      <c r="B14" s="81" t="s">
        <v>35</v>
      </c>
      <c r="C14" s="82">
        <v>15.357269818698899</v>
      </c>
      <c r="D14" s="82">
        <v>6.557377049180328</v>
      </c>
      <c r="E14" s="82">
        <v>2.2509848058525606</v>
      </c>
      <c r="F14" s="82">
        <v>0</v>
      </c>
      <c r="G14" s="82">
        <v>4.6692607003891053</v>
      </c>
      <c r="H14" s="82">
        <v>2.3786289338863136</v>
      </c>
      <c r="I14" s="82">
        <v>2.831802092033568</v>
      </c>
      <c r="J14" s="82">
        <v>1.0402194435538457</v>
      </c>
      <c r="K14" s="82">
        <v>14.837995718587859</v>
      </c>
      <c r="L14" s="82" t="e">
        <v>#DIV/0!</v>
      </c>
      <c r="M14" s="82" t="e">
        <v>#DIV/0!</v>
      </c>
      <c r="N14" s="82" t="e">
        <v>#DIV/0!</v>
      </c>
      <c r="O14" s="82" t="e">
        <v>#DIV/0!</v>
      </c>
    </row>
    <row r="15" spans="2:15" ht="25.2" customHeight="1" x14ac:dyDescent="0.3">
      <c r="B15" s="81" t="s">
        <v>25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 s="82">
        <v>0</v>
      </c>
      <c r="I15" s="82">
        <v>0</v>
      </c>
      <c r="J15" s="82">
        <v>1.5246813051047341</v>
      </c>
      <c r="K15" s="82">
        <v>1.2161459324377466</v>
      </c>
      <c r="L15" s="82" t="e">
        <v>#DIV/0!</v>
      </c>
      <c r="M15" s="82" t="e">
        <v>#DIV/0!</v>
      </c>
      <c r="N15" s="82" t="e">
        <v>#DIV/0!</v>
      </c>
      <c r="O15" s="82" t="e">
        <v>#DIV/0!</v>
      </c>
    </row>
    <row r="16" spans="2:15" ht="25.2" customHeight="1" x14ac:dyDescent="0.3">
      <c r="B16" s="81" t="s">
        <v>40</v>
      </c>
      <c r="C16" s="82">
        <v>9.7896183528914271</v>
      </c>
      <c r="D16" s="82">
        <v>11.34735202492212</v>
      </c>
      <c r="E16" s="82">
        <v>0.63537344398340245</v>
      </c>
      <c r="F16" s="82">
        <v>13.715769593956564</v>
      </c>
      <c r="G16" s="82">
        <v>13.845075359270941</v>
      </c>
      <c r="H16" s="82">
        <v>16.391396902297586</v>
      </c>
      <c r="I16" s="82">
        <v>10.050200803212853</v>
      </c>
      <c r="J16" s="82">
        <v>0</v>
      </c>
      <c r="K16" s="82">
        <v>9.4754233787691025</v>
      </c>
      <c r="L16" s="82" t="e">
        <v>#DIV/0!</v>
      </c>
      <c r="M16" s="82" t="e">
        <v>#DIV/0!</v>
      </c>
      <c r="N16" s="82" t="e">
        <v>#DIV/0!</v>
      </c>
      <c r="O16" s="82" t="e">
        <v>#DIV/0!</v>
      </c>
    </row>
    <row r="17" spans="2:15" ht="25.2" customHeight="1" x14ac:dyDescent="0.3">
      <c r="B17" s="81" t="s">
        <v>43</v>
      </c>
      <c r="C17" s="82">
        <v>8.7696523871339966</v>
      </c>
      <c r="D17" s="82">
        <v>22.072527225777481</v>
      </c>
      <c r="E17" s="82">
        <v>23.498026604297618</v>
      </c>
      <c r="F17" s="82">
        <v>25.267343758396471</v>
      </c>
      <c r="G17" s="82">
        <v>14.310242747187685</v>
      </c>
      <c r="H17" s="82">
        <v>0</v>
      </c>
      <c r="I17" s="82">
        <v>0</v>
      </c>
      <c r="J17" s="82">
        <v>0</v>
      </c>
      <c r="K17" s="82">
        <v>1.9028871391076114</v>
      </c>
      <c r="L17" s="82" t="e">
        <v>#DIV/0!</v>
      </c>
      <c r="M17" s="82" t="e">
        <v>#DIV/0!</v>
      </c>
      <c r="N17" s="82" t="e">
        <v>#DIV/0!</v>
      </c>
      <c r="O17" s="82" t="e">
        <v>#DIV/0!</v>
      </c>
    </row>
    <row r="18" spans="2:15" ht="25.2" customHeight="1" x14ac:dyDescent="0.3">
      <c r="B18" s="81" t="s">
        <v>46</v>
      </c>
      <c r="C18" s="82">
        <v>7.9248478191221565</v>
      </c>
      <c r="D18" s="82">
        <v>1.3864175563463821</v>
      </c>
      <c r="E18" s="82">
        <v>5.5875614850751303</v>
      </c>
      <c r="F18" s="82">
        <v>4.6748608047063769</v>
      </c>
      <c r="G18" s="82">
        <v>1.2942338476209938</v>
      </c>
      <c r="H18" s="82">
        <v>0</v>
      </c>
      <c r="I18" s="82">
        <v>8.0882644759296731</v>
      </c>
      <c r="J18" s="82">
        <v>3.4620346203462034</v>
      </c>
      <c r="K18" s="82">
        <v>1.2269419529531223</v>
      </c>
      <c r="L18" s="82" t="e">
        <v>#DIV/0!</v>
      </c>
      <c r="M18" s="82" t="e">
        <v>#DIV/0!</v>
      </c>
      <c r="N18" s="82" t="e">
        <v>#DIV/0!</v>
      </c>
      <c r="O18" s="82" t="e">
        <v>#DIV/0!</v>
      </c>
    </row>
    <row r="19" spans="2:15" ht="13.95" hidden="1" customHeight="1" x14ac:dyDescent="0.3">
      <c r="B19" s="81" t="s">
        <v>19</v>
      </c>
      <c r="C19" s="82">
        <v>9.762952101661778</v>
      </c>
      <c r="D19" s="82">
        <v>10.450787401574804</v>
      </c>
      <c r="E19" s="82">
        <v>9.9390645586297754</v>
      </c>
      <c r="F19" s="82">
        <v>12.508227128582542</v>
      </c>
      <c r="G19" s="82">
        <v>13.439007580978634</v>
      </c>
      <c r="H19" s="82">
        <v>17.158730158730158</v>
      </c>
      <c r="I19" s="82">
        <v>12.087665254781159</v>
      </c>
      <c r="J19" s="82">
        <v>16.03440996411231</v>
      </c>
      <c r="K19" s="82">
        <v>13.505826082531931</v>
      </c>
      <c r="L19" s="82" t="e">
        <v>#DIV/0!</v>
      </c>
      <c r="M19" s="82" t="e">
        <v>#DIV/0!</v>
      </c>
      <c r="N19" s="82" t="e">
        <v>#DIV/0!</v>
      </c>
      <c r="O19" s="82" t="e">
        <v>#DIV/0!</v>
      </c>
    </row>
    <row r="20" spans="2:15" ht="13.95" customHeight="1" x14ac:dyDescent="0.3">
      <c r="B20" s="81" t="s">
        <v>1015</v>
      </c>
      <c r="C20" s="82"/>
      <c r="D20" s="82"/>
      <c r="E20" s="82"/>
      <c r="F20" s="82"/>
      <c r="G20" s="82"/>
      <c r="H20" s="82">
        <v>0</v>
      </c>
      <c r="I20" s="82">
        <v>0</v>
      </c>
      <c r="J20" s="82"/>
      <c r="K20" s="82">
        <v>0</v>
      </c>
      <c r="L20" s="82" t="e">
        <v>#DIV/0!</v>
      </c>
      <c r="M20" s="82" t="e">
        <v>#DIV/0!</v>
      </c>
      <c r="N20" s="82" t="e">
        <v>#DIV/0!</v>
      </c>
      <c r="O20" s="82" t="e">
        <v>#DIV/0!</v>
      </c>
    </row>
    <row r="21" spans="2:15" ht="13.95" customHeight="1" x14ac:dyDescent="0.3">
      <c r="B21" s="81" t="s">
        <v>1016</v>
      </c>
      <c r="C21" s="82"/>
      <c r="D21" s="82"/>
      <c r="E21" s="82"/>
      <c r="F21" s="82"/>
      <c r="G21" s="82"/>
      <c r="H21" s="82">
        <v>0</v>
      </c>
      <c r="I21" s="82">
        <v>0</v>
      </c>
      <c r="J21" s="82"/>
      <c r="K21" s="82">
        <v>0</v>
      </c>
      <c r="L21" s="82" t="e">
        <v>#DIV/0!</v>
      </c>
      <c r="M21" s="82" t="e">
        <v>#DIV/0!</v>
      </c>
      <c r="N21" s="82" t="e">
        <v>#DIV/0!</v>
      </c>
      <c r="O21" s="82" t="e">
        <v>#DIV/0!</v>
      </c>
    </row>
    <row r="22" spans="2:15" ht="13.95" customHeight="1" x14ac:dyDescent="0.3">
      <c r="B22" s="81" t="s">
        <v>1017</v>
      </c>
      <c r="C22" s="82"/>
      <c r="D22" s="82"/>
      <c r="E22" s="82"/>
      <c r="F22" s="82"/>
      <c r="G22" s="82"/>
      <c r="H22" s="82">
        <v>0</v>
      </c>
      <c r="I22" s="82">
        <v>0</v>
      </c>
      <c r="J22" s="82"/>
      <c r="K22" s="82">
        <v>0</v>
      </c>
      <c r="L22" s="82" t="e">
        <v>#DIV/0!</v>
      </c>
      <c r="M22" s="82" t="e">
        <v>#DIV/0!</v>
      </c>
      <c r="N22" s="82" t="e">
        <v>#DIV/0!</v>
      </c>
      <c r="O22" s="82" t="e">
        <v>#DIV/0!</v>
      </c>
    </row>
    <row r="23" spans="2:15" ht="13.95" customHeight="1" x14ac:dyDescent="0.3">
      <c r="B23" s="81" t="s">
        <v>1014</v>
      </c>
      <c r="C23" s="82"/>
      <c r="D23" s="82"/>
      <c r="E23" s="82"/>
      <c r="F23" s="82"/>
      <c r="G23" s="82"/>
      <c r="H23" s="82">
        <v>0</v>
      </c>
      <c r="I23" s="82">
        <v>5.8871608943166995</v>
      </c>
      <c r="J23" s="82">
        <v>6.7185783344319931</v>
      </c>
      <c r="K23" s="82">
        <v>6.6503661705646113</v>
      </c>
      <c r="L23" s="82" t="e">
        <v>#DIV/0!</v>
      </c>
      <c r="M23" s="82" t="e">
        <v>#DIV/0!</v>
      </c>
      <c r="N23" s="82" t="e">
        <v>#DIV/0!</v>
      </c>
      <c r="O23" s="82" t="e">
        <v>#DIV/0!</v>
      </c>
    </row>
    <row r="24" spans="2:15" ht="13.95" customHeight="1" x14ac:dyDescent="0.3">
      <c r="B24" s="81" t="s">
        <v>1070</v>
      </c>
      <c r="C24" s="82"/>
      <c r="D24" s="82"/>
      <c r="E24" s="82"/>
      <c r="F24" s="82"/>
      <c r="G24" s="82"/>
      <c r="H24" s="82"/>
      <c r="I24" s="82"/>
      <c r="J24" s="82">
        <v>0</v>
      </c>
      <c r="K24" s="82"/>
      <c r="L24" s="82"/>
      <c r="M24" s="82"/>
      <c r="N24" s="82"/>
      <c r="O24" s="82">
        <v>0</v>
      </c>
    </row>
    <row r="25" spans="2:15" ht="13.95" customHeight="1" x14ac:dyDescent="0.3">
      <c r="B25" s="81" t="s">
        <v>128</v>
      </c>
      <c r="C25" s="82">
        <v>7.5966930741527063</v>
      </c>
      <c r="D25" s="82">
        <v>4.9051159361761192</v>
      </c>
      <c r="E25" s="82">
        <v>4.9051589711170918</v>
      </c>
      <c r="F25" s="82">
        <v>7.1579247598429143</v>
      </c>
      <c r="G25" s="82">
        <v>6.1819767582958347</v>
      </c>
      <c r="H25" s="82">
        <v>3.1588882755294234</v>
      </c>
      <c r="I25" s="82">
        <v>4.9451124465974052</v>
      </c>
      <c r="J25" s="82">
        <v>3.9088296840235586</v>
      </c>
      <c r="K25" s="82">
        <v>4.0264938814192872</v>
      </c>
      <c r="L25" s="82" t="e">
        <v>#DIV/0!</v>
      </c>
      <c r="M25" s="82" t="e">
        <v>#DIV/0!</v>
      </c>
      <c r="N25" s="82" t="e">
        <v>#DIV/0!</v>
      </c>
      <c r="O25" s="82" t="e">
        <v>#DIV/0!</v>
      </c>
    </row>
  </sheetData>
  <conditionalFormatting pivot="1" sqref="C5:O18">
    <cfRule type="cellIs" dxfId="110" priority="1" operator="greaterThanOrEqual">
      <formula>15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2"/>
  <headerFooter differentFirst="1">
    <oddFooter>&amp;LG05002   R02&amp;R&amp;P / &amp;N&amp;C&amp;"verdana,Regular"&amp;8Kurum İçi | Internal \  Kişisel Veri İçermez | Contains No Personal Data</oddFooter>
    <firstFooter>&amp;LG05002   R02&amp;CHizmete Özel&amp;R&amp;P / &amp;N</first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manualMax="100" manualMin="0" type="column" displayEmptyCellsAs="gap" minAxisType="group" maxAxisType="custom" xr2:uid="{00000000-0003-0000-0900-00000E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Analizi'!C6:N6</xm:f>
              <xm:sqref>P6</xm:sqref>
            </x14:sparkline>
          </x14:sparklines>
        </x14:sparklineGroup>
        <x14:sparklineGroup manualMax="100" manualMin="0" type="column" displayEmptyCellsAs="gap" minAxisType="group" maxAxisType="custom" xr2:uid="{00000000-0003-0000-0900-00000F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Analizi'!C7:N7</xm:f>
              <xm:sqref>P7</xm:sqref>
            </x14:sparkline>
          </x14:sparklines>
        </x14:sparklineGroup>
        <x14:sparklineGroup manualMax="100" manualMin="0" type="column" displayEmptyCellsAs="gap" minAxisType="group" maxAxisType="custom" xr2:uid="{00000000-0003-0000-0900-00001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Analizi'!C18:N18</xm:f>
              <xm:sqref>P18</xm:sqref>
            </x14:sparkline>
          </x14:sparklines>
        </x14:sparklineGroup>
        <x14:sparklineGroup manualMax="100" manualMin="0" type="column" displayEmptyCellsAs="gap" maxAxisType="custom" xr2:uid="{00000000-0003-0000-0900-000011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Analizi'!C5:N5</xm:f>
              <xm:sqref>P5</xm:sqref>
            </x14:sparkline>
          </x14:sparklines>
        </x14:sparklineGroup>
        <x14:sparklineGroup manualMax="100" manualMin="0" type="column" displayEmptyCellsAs="gap" minAxisType="group" maxAxisType="custom" xr2:uid="{00000000-0003-0000-0900-000012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Analizi'!C8:N8</xm:f>
              <xm:sqref>P8</xm:sqref>
            </x14:sparkline>
          </x14:sparklines>
        </x14:sparklineGroup>
        <x14:sparklineGroup manualMax="100" manualMin="0" type="column" displayEmptyCellsAs="gap" minAxisType="group" maxAxisType="custom" xr2:uid="{00000000-0003-0000-0900-000013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Analizi'!C9:N9</xm:f>
              <xm:sqref>P9</xm:sqref>
            </x14:sparkline>
          </x14:sparklines>
        </x14:sparklineGroup>
        <x14:sparklineGroup manualMax="100" manualMin="0" type="column" displayEmptyCellsAs="gap" minAxisType="group" maxAxisType="custom" xr2:uid="{00000000-0003-0000-0900-000014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Analizi'!C10:N10</xm:f>
              <xm:sqref>P10</xm:sqref>
            </x14:sparkline>
          </x14:sparklines>
        </x14:sparklineGroup>
        <x14:sparklineGroup manualMax="100" manualMin="0" type="column" displayEmptyCellsAs="gap" minAxisType="group" maxAxisType="custom" xr2:uid="{00000000-0003-0000-0900-000015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Analizi'!C11:N11</xm:f>
              <xm:sqref>P11</xm:sqref>
            </x14:sparkline>
          </x14:sparklines>
        </x14:sparklineGroup>
        <x14:sparklineGroup manualMax="100" manualMin="0" type="column" displayEmptyCellsAs="gap" minAxisType="group" maxAxisType="custom" xr2:uid="{00000000-0003-0000-0900-000016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Analizi'!C12:N12</xm:f>
              <xm:sqref>P12</xm:sqref>
            </x14:sparkline>
          </x14:sparklines>
        </x14:sparklineGroup>
        <x14:sparklineGroup manualMax="100" manualMin="0" type="column" displayEmptyCellsAs="gap" minAxisType="group" maxAxisType="custom" xr2:uid="{00000000-0003-0000-0900-000017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Analizi'!C13:N13</xm:f>
              <xm:sqref>P13</xm:sqref>
            </x14:sparkline>
          </x14:sparklines>
        </x14:sparklineGroup>
        <x14:sparklineGroup manualMax="100" manualMin="0" type="column" displayEmptyCellsAs="gap" minAxisType="group" maxAxisType="custom" xr2:uid="{00000000-0003-0000-0900-000018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Analizi'!C14:N14</xm:f>
              <xm:sqref>P14</xm:sqref>
            </x14:sparkline>
          </x14:sparklines>
        </x14:sparklineGroup>
        <x14:sparklineGroup manualMax="100" manualMin="0" type="column" displayEmptyCellsAs="gap" minAxisType="group" maxAxisType="custom" xr2:uid="{00000000-0003-0000-0900-000019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Analizi'!C15:N15</xm:f>
              <xm:sqref>P15</xm:sqref>
            </x14:sparkline>
          </x14:sparklines>
        </x14:sparklineGroup>
        <x14:sparklineGroup manualMax="100" manualMin="0" type="column" displayEmptyCellsAs="gap" minAxisType="group" maxAxisType="custom" xr2:uid="{00000000-0003-0000-0900-00001A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Analizi'!C16:N16</xm:f>
              <xm:sqref>P16</xm:sqref>
            </x14:sparkline>
          </x14:sparklines>
        </x14:sparklineGroup>
        <x14:sparklineGroup manualMax="100" manualMin="0" type="column" displayEmptyCellsAs="gap" minAxisType="group" maxAxisType="custom" xr2:uid="{00000000-0003-0000-0900-00001B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'Kapasite Analizi'!C17:N17</xm:f>
              <xm:sqref>P17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ayfa11">
    <tabColor rgb="FFFFFF00"/>
  </sheetPr>
  <dimension ref="B3:O25"/>
  <sheetViews>
    <sheetView showGridLines="0" zoomScale="80" zoomScaleNormal="80" workbookViewId="0">
      <selection activeCell="J9" sqref="J9"/>
    </sheetView>
  </sheetViews>
  <sheetFormatPr defaultColWidth="8.88671875" defaultRowHeight="13.95" customHeight="1" x14ac:dyDescent="0.3"/>
  <cols>
    <col min="1" max="1" width="1.5546875" style="80" customWidth="1"/>
    <col min="2" max="2" width="29.21875" style="80" bestFit="1" customWidth="1"/>
    <col min="3" max="3" width="5.33203125" style="80" bestFit="1" customWidth="1"/>
    <col min="4" max="4" width="5.6640625" style="80" bestFit="1" customWidth="1"/>
    <col min="5" max="5" width="5.109375" style="80" bestFit="1" customWidth="1"/>
    <col min="6" max="6" width="5.5546875" style="80" bestFit="1" customWidth="1"/>
    <col min="7" max="7" width="5.77734375" style="80" bestFit="1" customWidth="1"/>
    <col min="8" max="8" width="7.109375" style="80" bestFit="1" customWidth="1"/>
    <col min="9" max="9" width="7.88671875" style="80" bestFit="1" customWidth="1"/>
    <col min="10" max="10" width="7.33203125" style="80" bestFit="1" customWidth="1"/>
    <col min="11" max="11" width="4.88671875" style="80" bestFit="1" customWidth="1"/>
    <col min="12" max="14" width="8.33203125" style="80" bestFit="1" customWidth="1"/>
    <col min="15" max="15" width="12.33203125" style="80" bestFit="1" customWidth="1"/>
    <col min="16" max="16" width="24.88671875" style="80" customWidth="1"/>
    <col min="17" max="16384" width="8.88671875" style="80"/>
  </cols>
  <sheetData>
    <row r="3" spans="2:15" ht="13.95" customHeight="1" x14ac:dyDescent="0.3">
      <c r="B3" s="79" t="s">
        <v>149</v>
      </c>
      <c r="C3" s="79" t="s">
        <v>147</v>
      </c>
    </row>
    <row r="4" spans="2:15" ht="13.95" customHeight="1" x14ac:dyDescent="0.3">
      <c r="B4" s="79" t="s">
        <v>84</v>
      </c>
      <c r="C4" s="80" t="s">
        <v>107</v>
      </c>
      <c r="D4" s="80" t="s">
        <v>109</v>
      </c>
      <c r="E4" s="80" t="s">
        <v>110</v>
      </c>
      <c r="F4" s="80" t="s">
        <v>111</v>
      </c>
      <c r="G4" s="80" t="s">
        <v>112</v>
      </c>
      <c r="H4" s="80" t="s">
        <v>113</v>
      </c>
      <c r="I4" s="80" t="s">
        <v>114</v>
      </c>
      <c r="J4" s="80" t="s">
        <v>115</v>
      </c>
      <c r="K4" s="80" t="s">
        <v>116</v>
      </c>
      <c r="L4" s="80" t="s">
        <v>117</v>
      </c>
      <c r="M4" s="80" t="s">
        <v>118</v>
      </c>
      <c r="N4" s="80" t="s">
        <v>119</v>
      </c>
      <c r="O4" s="80" t="s">
        <v>128</v>
      </c>
    </row>
    <row r="5" spans="2:15" ht="25.2" customHeight="1" x14ac:dyDescent="0.3">
      <c r="B5" s="81" t="s">
        <v>5</v>
      </c>
      <c r="C5" s="82">
        <v>14.038297509382467</v>
      </c>
      <c r="D5" s="82">
        <v>20.21498555015155</v>
      </c>
      <c r="E5" s="82">
        <v>22.57083886186053</v>
      </c>
      <c r="F5" s="82">
        <v>24.972449047334528</v>
      </c>
      <c r="G5" s="82">
        <v>25.472219194011409</v>
      </c>
      <c r="H5" s="82">
        <v>37.523825038690234</v>
      </c>
      <c r="I5" s="82">
        <v>35.866576004835302</v>
      </c>
      <c r="J5" s="82">
        <v>30.886947810024729</v>
      </c>
      <c r="K5" s="82">
        <v>18.265827762485255</v>
      </c>
      <c r="L5" s="82" t="e">
        <v>#DIV/0!</v>
      </c>
      <c r="M5" s="82" t="e">
        <v>#DIV/0!</v>
      </c>
      <c r="N5" s="82" t="e">
        <v>#DIV/0!</v>
      </c>
      <c r="O5" s="82" t="e">
        <v>#DIV/0!</v>
      </c>
    </row>
    <row r="6" spans="2:15" ht="25.2" customHeight="1" x14ac:dyDescent="0.3">
      <c r="B6" s="81" t="s">
        <v>9</v>
      </c>
      <c r="C6" s="82">
        <v>15.931229558914517</v>
      </c>
      <c r="D6" s="82">
        <v>13.449239621866003</v>
      </c>
      <c r="E6" s="82">
        <v>7.3092690005441687</v>
      </c>
      <c r="F6" s="82">
        <v>1.9359264284637399</v>
      </c>
      <c r="G6" s="82">
        <v>1.3051044083526682</v>
      </c>
      <c r="H6" s="82">
        <v>16.262480924351419</v>
      </c>
      <c r="I6" s="82">
        <v>15.138498252791271</v>
      </c>
      <c r="J6" s="82">
        <v>33.461757311102289</v>
      </c>
      <c r="K6" s="82">
        <v>32.851441398865511</v>
      </c>
      <c r="L6" s="82" t="e">
        <v>#DIV/0!</v>
      </c>
      <c r="M6" s="82" t="e">
        <v>#DIV/0!</v>
      </c>
      <c r="N6" s="82" t="e">
        <v>#DIV/0!</v>
      </c>
      <c r="O6" s="82" t="e">
        <v>#DIV/0!</v>
      </c>
    </row>
    <row r="7" spans="2:15" ht="25.2" customHeight="1" x14ac:dyDescent="0.3">
      <c r="B7" s="81" t="s">
        <v>13</v>
      </c>
      <c r="C7" s="82">
        <v>12.339675733619186</v>
      </c>
      <c r="D7" s="82">
        <v>13.057020669992877</v>
      </c>
      <c r="E7" s="82">
        <v>14.875612042921126</v>
      </c>
      <c r="F7" s="82">
        <v>1.5200608024318061E-2</v>
      </c>
      <c r="G7" s="82">
        <v>2.504816955684003</v>
      </c>
      <c r="H7" s="82">
        <v>15.36026677630076</v>
      </c>
      <c r="I7" s="82">
        <v>29.13936246053569</v>
      </c>
      <c r="J7" s="82">
        <v>28.220065472751788</v>
      </c>
      <c r="K7" s="82">
        <v>22.911647139903515</v>
      </c>
      <c r="L7" s="82" t="e">
        <v>#DIV/0!</v>
      </c>
      <c r="M7" s="82" t="e">
        <v>#DIV/0!</v>
      </c>
      <c r="N7" s="82" t="e">
        <v>#DIV/0!</v>
      </c>
      <c r="O7" s="82" t="e">
        <v>#DIV/0!</v>
      </c>
    </row>
    <row r="8" spans="2:15" ht="25.2" customHeight="1" x14ac:dyDescent="0.3">
      <c r="B8" s="81" t="s">
        <v>17</v>
      </c>
      <c r="C8" s="82">
        <v>25.268017835427635</v>
      </c>
      <c r="D8" s="82">
        <v>23.543390464933022</v>
      </c>
      <c r="E8" s="82">
        <v>28.435228836507314</v>
      </c>
      <c r="F8" s="82">
        <v>17.73126200034908</v>
      </c>
      <c r="G8" s="82">
        <v>38.601867542797855</v>
      </c>
      <c r="H8" s="82">
        <v>44.903203743700516</v>
      </c>
      <c r="I8" s="82">
        <v>51.847570621468932</v>
      </c>
      <c r="J8" s="82">
        <v>42.606042396928707</v>
      </c>
      <c r="K8" s="82">
        <v>24.618660136874482</v>
      </c>
      <c r="L8" s="82" t="e">
        <v>#DIV/0!</v>
      </c>
      <c r="M8" s="82" t="e">
        <v>#DIV/0!</v>
      </c>
      <c r="N8" s="82" t="e">
        <v>#DIV/0!</v>
      </c>
      <c r="O8" s="82" t="e">
        <v>#DIV/0!</v>
      </c>
    </row>
    <row r="9" spans="2:15" ht="25.2" customHeight="1" x14ac:dyDescent="0.3">
      <c r="B9" s="81" t="s">
        <v>20</v>
      </c>
      <c r="C9" s="82">
        <v>55.672800100137685</v>
      </c>
      <c r="D9" s="82">
        <v>52.820221886031263</v>
      </c>
      <c r="E9" s="82">
        <v>34.612260792167334</v>
      </c>
      <c r="F9" s="82">
        <v>41.141146939563619</v>
      </c>
      <c r="G9" s="82">
        <v>37.28125</v>
      </c>
      <c r="H9" s="82">
        <v>21.037260825780461</v>
      </c>
      <c r="I9" s="82">
        <v>42.646148242578761</v>
      </c>
      <c r="J9" s="82">
        <v>44.025367156208276</v>
      </c>
      <c r="K9" s="82">
        <v>50.73648618388642</v>
      </c>
      <c r="L9" s="82" t="e">
        <v>#DIV/0!</v>
      </c>
      <c r="M9" s="82" t="e">
        <v>#DIV/0!</v>
      </c>
      <c r="N9" s="82" t="e">
        <v>#DIV/0!</v>
      </c>
      <c r="O9" s="82" t="e">
        <v>#DIV/0!</v>
      </c>
    </row>
    <row r="10" spans="2:15" ht="25.2" customHeight="1" x14ac:dyDescent="0.3">
      <c r="B10" s="81" t="s">
        <v>23</v>
      </c>
      <c r="C10" s="82">
        <v>53.306989247311833</v>
      </c>
      <c r="D10" s="82">
        <v>24.582308142940832</v>
      </c>
      <c r="E10" s="82">
        <v>21.141839080459775</v>
      </c>
      <c r="F10" s="82">
        <v>39.316242125445058</v>
      </c>
      <c r="G10" s="82">
        <v>25.208401826484</v>
      </c>
      <c r="H10" s="82">
        <v>34.249531680440739</v>
      </c>
      <c r="I10" s="82">
        <v>52.166805094130723</v>
      </c>
      <c r="J10" s="82">
        <v>48.219553450608949</v>
      </c>
      <c r="K10" s="82">
        <v>32.306592386258082</v>
      </c>
      <c r="L10" s="82" t="e">
        <v>#DIV/0!</v>
      </c>
      <c r="M10" s="82" t="e">
        <v>#DIV/0!</v>
      </c>
      <c r="N10" s="82" t="e">
        <v>#DIV/0!</v>
      </c>
      <c r="O10" s="82" t="e">
        <v>#DIV/0!</v>
      </c>
    </row>
    <row r="11" spans="2:15" ht="25.2" customHeight="1" x14ac:dyDescent="0.3">
      <c r="B11" s="81" t="s">
        <v>26</v>
      </c>
      <c r="C11" s="82">
        <v>34.696005706134088</v>
      </c>
      <c r="D11" s="82">
        <v>9.7927817280758589</v>
      </c>
      <c r="E11" s="82">
        <v>20.128375132122631</v>
      </c>
      <c r="F11" s="82">
        <v>21.602476190476196</v>
      </c>
      <c r="G11" s="82">
        <v>40.469712743396954</v>
      </c>
      <c r="H11" s="82">
        <v>16.287236165477012</v>
      </c>
      <c r="I11" s="82">
        <v>26.931640859440641</v>
      </c>
      <c r="J11" s="82">
        <v>45.149722846441939</v>
      </c>
      <c r="K11" s="82">
        <v>22.894652777777768</v>
      </c>
      <c r="L11" s="82" t="e">
        <v>#DIV/0!</v>
      </c>
      <c r="M11" s="82" t="e">
        <v>#DIV/0!</v>
      </c>
      <c r="N11" s="82" t="e">
        <v>#DIV/0!</v>
      </c>
      <c r="O11" s="82" t="e">
        <v>#DIV/0!</v>
      </c>
    </row>
    <row r="12" spans="2:15" ht="25.2" customHeight="1" x14ac:dyDescent="0.3">
      <c r="B12" s="81" t="s">
        <v>29</v>
      </c>
      <c r="C12" s="82">
        <v>32.421371277617666</v>
      </c>
      <c r="D12" s="82">
        <v>-9.649194784512785</v>
      </c>
      <c r="E12" s="82">
        <v>13.38513963963964</v>
      </c>
      <c r="F12" s="82">
        <v>13.094164046870574</v>
      </c>
      <c r="G12" s="82">
        <v>55.509616575375084</v>
      </c>
      <c r="H12" s="82">
        <v>28.664446939080989</v>
      </c>
      <c r="I12" s="82">
        <v>54.338795705782296</v>
      </c>
      <c r="J12" s="82">
        <v>26.921600901916541</v>
      </c>
      <c r="K12" s="82">
        <v>1.9344134314472368</v>
      </c>
      <c r="L12" s="82" t="e">
        <v>#DIV/0!</v>
      </c>
      <c r="M12" s="82" t="e">
        <v>#DIV/0!</v>
      </c>
      <c r="N12" s="82" t="e">
        <v>#DIV/0!</v>
      </c>
      <c r="O12" s="82" t="e">
        <v>#DIV/0!</v>
      </c>
    </row>
    <row r="13" spans="2:15" ht="25.2" customHeight="1" x14ac:dyDescent="0.3">
      <c r="B13" s="81" t="s">
        <v>32</v>
      </c>
      <c r="C13" s="82">
        <v>91.964426250317331</v>
      </c>
      <c r="D13" s="82">
        <v>10.457028852056476</v>
      </c>
      <c r="E13" s="82">
        <v>23.535604163188076</v>
      </c>
      <c r="F13" s="82">
        <v>28.713686418458305</v>
      </c>
      <c r="G13" s="82">
        <v>84.702388105692933</v>
      </c>
      <c r="H13" s="82"/>
      <c r="I13" s="82"/>
      <c r="J13" s="82"/>
      <c r="K13" s="82"/>
      <c r="L13" s="82"/>
      <c r="M13" s="82"/>
      <c r="N13" s="82"/>
      <c r="O13" s="82">
        <v>47.874626757942629</v>
      </c>
    </row>
    <row r="14" spans="2:15" ht="25.2" customHeight="1" x14ac:dyDescent="0.3">
      <c r="B14" s="81" t="s">
        <v>35</v>
      </c>
      <c r="C14" s="82">
        <v>6.0581822490816393</v>
      </c>
      <c r="D14" s="82">
        <v>12.369242779078842</v>
      </c>
      <c r="E14" s="82">
        <v>9.5190395798161678</v>
      </c>
      <c r="F14" s="82">
        <v>25.193761247750444</v>
      </c>
      <c r="G14" s="82">
        <v>4.293125810635539</v>
      </c>
      <c r="H14" s="82">
        <v>9.8788322355045963</v>
      </c>
      <c r="I14" s="82">
        <v>37.461321242492943</v>
      </c>
      <c r="J14" s="82">
        <v>24.40882049089808</v>
      </c>
      <c r="K14" s="82">
        <v>0.11356627118028176</v>
      </c>
      <c r="L14" s="82" t="e">
        <v>#DIV/0!</v>
      </c>
      <c r="M14" s="82" t="e">
        <v>#DIV/0!</v>
      </c>
      <c r="N14" s="82" t="e">
        <v>#DIV/0!</v>
      </c>
      <c r="O14" s="82" t="e">
        <v>#DIV/0!</v>
      </c>
    </row>
    <row r="15" spans="2:15" ht="25.2" customHeight="1" x14ac:dyDescent="0.3">
      <c r="B15" s="81" t="s">
        <v>25</v>
      </c>
      <c r="C15" s="82">
        <v>54.711413144665798</v>
      </c>
      <c r="D15" s="82">
        <v>39.069876321641757</v>
      </c>
      <c r="E15" s="82">
        <v>34.613583138173297</v>
      </c>
      <c r="F15" s="82">
        <v>38.909871244635191</v>
      </c>
      <c r="G15" s="82">
        <v>47.183623164851838</v>
      </c>
      <c r="H15" s="82">
        <v>42.092804401331982</v>
      </c>
      <c r="I15" s="82">
        <v>61.196615195458001</v>
      </c>
      <c r="J15" s="82">
        <v>55.000935961513264</v>
      </c>
      <c r="K15" s="82">
        <v>34.18452131775571</v>
      </c>
      <c r="L15" s="82" t="e">
        <v>#DIV/0!</v>
      </c>
      <c r="M15" s="82" t="e">
        <v>#DIV/0!</v>
      </c>
      <c r="N15" s="82" t="e">
        <v>#DIV/0!</v>
      </c>
      <c r="O15" s="82" t="e">
        <v>#DIV/0!</v>
      </c>
    </row>
    <row r="16" spans="2:15" ht="25.2" customHeight="1" x14ac:dyDescent="0.3">
      <c r="B16" s="81" t="s">
        <v>40</v>
      </c>
      <c r="C16" s="82">
        <v>-5.3402896712126013</v>
      </c>
      <c r="D16" s="82">
        <v>26.272897196261685</v>
      </c>
      <c r="E16" s="82">
        <v>20.215560165975095</v>
      </c>
      <c r="F16" s="82">
        <v>29.907913125590174</v>
      </c>
      <c r="G16" s="82">
        <v>38.424062390466176</v>
      </c>
      <c r="H16" s="82">
        <v>22.848528224326508</v>
      </c>
      <c r="I16" s="82">
        <v>42.147891566265059</v>
      </c>
      <c r="J16" s="82">
        <v>33.022800185442755</v>
      </c>
      <c r="K16" s="82">
        <v>31.618256918628653</v>
      </c>
      <c r="L16" s="82" t="e">
        <v>#DIV/0!</v>
      </c>
      <c r="M16" s="82" t="e">
        <v>#DIV/0!</v>
      </c>
      <c r="N16" s="82" t="e">
        <v>#DIV/0!</v>
      </c>
      <c r="O16" s="82" t="e">
        <v>#DIV/0!</v>
      </c>
    </row>
    <row r="17" spans="2:15" ht="25.2" customHeight="1" x14ac:dyDescent="0.3">
      <c r="B17" s="81" t="s">
        <v>43</v>
      </c>
      <c r="C17" s="82">
        <v>17.392521275061291</v>
      </c>
      <c r="D17" s="82">
        <v>-20.714550353654424</v>
      </c>
      <c r="E17" s="82">
        <v>-21.281610875602983</v>
      </c>
      <c r="F17" s="82">
        <v>-9.5017249717878567</v>
      </c>
      <c r="G17" s="82">
        <v>11.828330373001783</v>
      </c>
      <c r="H17" s="82">
        <v>23.969066208619587</v>
      </c>
      <c r="I17" s="82">
        <v>29.942048959768986</v>
      </c>
      <c r="J17" s="82">
        <v>34.194025999801561</v>
      </c>
      <c r="K17" s="82">
        <v>30.535414323209615</v>
      </c>
      <c r="L17" s="82" t="e">
        <v>#DIV/0!</v>
      </c>
      <c r="M17" s="82" t="e">
        <v>#DIV/0!</v>
      </c>
      <c r="N17" s="82" t="e">
        <v>#DIV/0!</v>
      </c>
      <c r="O17" s="82" t="e">
        <v>#DIV/0!</v>
      </c>
    </row>
    <row r="18" spans="2:15" ht="25.2" customHeight="1" x14ac:dyDescent="0.3">
      <c r="B18" s="81" t="s">
        <v>46</v>
      </c>
      <c r="C18" s="82">
        <v>-5.5657467160968483</v>
      </c>
      <c r="D18" s="82">
        <v>7.8849347568208676</v>
      </c>
      <c r="E18" s="82">
        <v>16.973249781012068</v>
      </c>
      <c r="F18" s="82">
        <v>-5.0587946913191209</v>
      </c>
      <c r="G18" s="82">
        <v>0.61912060215935394</v>
      </c>
      <c r="H18" s="82">
        <v>14.912175491201765</v>
      </c>
      <c r="I18" s="82">
        <v>6.7743779021312118</v>
      </c>
      <c r="J18" s="82">
        <v>19.086490864908654</v>
      </c>
      <c r="K18" s="82">
        <v>5.6731849720764966</v>
      </c>
      <c r="L18" s="82" t="e">
        <v>#DIV/0!</v>
      </c>
      <c r="M18" s="82" t="e">
        <v>#DIV/0!</v>
      </c>
      <c r="N18" s="82" t="e">
        <v>#DIV/0!</v>
      </c>
      <c r="O18" s="82" t="e">
        <v>#DIV/0!</v>
      </c>
    </row>
    <row r="19" spans="2:15" ht="13.95" hidden="1" customHeight="1" x14ac:dyDescent="0.3">
      <c r="B19" s="81" t="s">
        <v>19</v>
      </c>
      <c r="C19" s="82">
        <v>43.136987414467278</v>
      </c>
      <c r="D19" s="82">
        <v>30.336614173228345</v>
      </c>
      <c r="E19" s="82">
        <v>32.959425779534584</v>
      </c>
      <c r="F19" s="82">
        <v>24.222769101897097</v>
      </c>
      <c r="G19" s="82">
        <v>24.417183551573629</v>
      </c>
      <c r="H19" s="82">
        <v>-1.0193362193362174</v>
      </c>
      <c r="I19" s="82">
        <v>33.070750866384365</v>
      </c>
      <c r="J19" s="82">
        <v>19.514544015199434</v>
      </c>
      <c r="K19" s="82">
        <v>38.405332519208265</v>
      </c>
      <c r="L19" s="82" t="e">
        <v>#DIV/0!</v>
      </c>
      <c r="M19" s="82" t="e">
        <v>#DIV/0!</v>
      </c>
      <c r="N19" s="82" t="e">
        <v>#DIV/0!</v>
      </c>
      <c r="O19" s="82" t="e">
        <v>#DIV/0!</v>
      </c>
    </row>
    <row r="20" spans="2:15" ht="13.95" customHeight="1" x14ac:dyDescent="0.3">
      <c r="B20" s="81" t="s">
        <v>1015</v>
      </c>
      <c r="C20" s="82"/>
      <c r="D20" s="82"/>
      <c r="E20" s="82"/>
      <c r="F20" s="82"/>
      <c r="G20" s="82"/>
      <c r="H20" s="82">
        <v>68.773761713520756</v>
      </c>
      <c r="I20" s="82">
        <v>46.082418922214089</v>
      </c>
      <c r="J20" s="82"/>
      <c r="K20" s="82">
        <v>4.5757729061270513</v>
      </c>
      <c r="L20" s="82" t="e">
        <v>#DIV/0!</v>
      </c>
      <c r="M20" s="82" t="e">
        <v>#DIV/0!</v>
      </c>
      <c r="N20" s="82" t="e">
        <v>#DIV/0!</v>
      </c>
      <c r="O20" s="82" t="e">
        <v>#DIV/0!</v>
      </c>
    </row>
    <row r="21" spans="2:15" ht="13.95" customHeight="1" x14ac:dyDescent="0.3">
      <c r="B21" s="81" t="s">
        <v>1016</v>
      </c>
      <c r="C21" s="82"/>
      <c r="D21" s="82"/>
      <c r="E21" s="82"/>
      <c r="F21" s="82"/>
      <c r="G21" s="82"/>
      <c r="H21" s="82">
        <v>85.721123173837285</v>
      </c>
      <c r="I21" s="82">
        <v>99.234307359307351</v>
      </c>
      <c r="J21" s="82"/>
      <c r="K21" s="82">
        <v>57.408051529790662</v>
      </c>
      <c r="L21" s="82" t="e">
        <v>#DIV/0!</v>
      </c>
      <c r="M21" s="82" t="e">
        <v>#DIV/0!</v>
      </c>
      <c r="N21" s="82" t="e">
        <v>#DIV/0!</v>
      </c>
      <c r="O21" s="82" t="e">
        <v>#DIV/0!</v>
      </c>
    </row>
    <row r="22" spans="2:15" ht="13.95" customHeight="1" x14ac:dyDescent="0.3">
      <c r="B22" s="81" t="s">
        <v>1017</v>
      </c>
      <c r="C22" s="82"/>
      <c r="D22" s="82"/>
      <c r="E22" s="82"/>
      <c r="F22" s="82"/>
      <c r="G22" s="82"/>
      <c r="H22" s="82">
        <v>62.49367396593675</v>
      </c>
      <c r="I22" s="82">
        <v>96.485411140583551</v>
      </c>
      <c r="J22" s="82"/>
      <c r="K22" s="82">
        <v>41.459816384180783</v>
      </c>
      <c r="L22" s="82" t="e">
        <v>#DIV/0!</v>
      </c>
      <c r="M22" s="82" t="e">
        <v>#DIV/0!</v>
      </c>
      <c r="N22" s="82" t="e">
        <v>#DIV/0!</v>
      </c>
      <c r="O22" s="82" t="e">
        <v>#DIV/0!</v>
      </c>
    </row>
    <row r="23" spans="2:15" ht="13.95" customHeight="1" x14ac:dyDescent="0.3">
      <c r="B23" s="81" t="s">
        <v>1014</v>
      </c>
      <c r="C23" s="82"/>
      <c r="D23" s="82"/>
      <c r="E23" s="82"/>
      <c r="F23" s="82"/>
      <c r="G23" s="82"/>
      <c r="H23" s="82">
        <v>53.333414920197853</v>
      </c>
      <c r="I23" s="82">
        <v>12.201418439716313</v>
      </c>
      <c r="J23" s="82">
        <v>-4.6461189848385054</v>
      </c>
      <c r="K23" s="82">
        <v>8.8049326718639414</v>
      </c>
      <c r="L23" s="82" t="e">
        <v>#DIV/0!</v>
      </c>
      <c r="M23" s="82" t="e">
        <v>#DIV/0!</v>
      </c>
      <c r="N23" s="82" t="e">
        <v>#DIV/0!</v>
      </c>
      <c r="O23" s="82" t="e">
        <v>#DIV/0!</v>
      </c>
    </row>
    <row r="24" spans="2:15" ht="13.95" customHeight="1" x14ac:dyDescent="0.3">
      <c r="B24" s="81" t="s">
        <v>1070</v>
      </c>
      <c r="C24" s="82"/>
      <c r="D24" s="82"/>
      <c r="E24" s="82"/>
      <c r="F24" s="82"/>
      <c r="G24" s="82"/>
      <c r="H24" s="82"/>
      <c r="I24" s="82"/>
      <c r="J24" s="82">
        <v>31.548197438300505</v>
      </c>
      <c r="K24" s="82"/>
      <c r="L24" s="82"/>
      <c r="M24" s="82"/>
      <c r="N24" s="82"/>
      <c r="O24" s="82">
        <v>31.548197438300505</v>
      </c>
    </row>
    <row r="25" spans="2:15" ht="13.95" customHeight="1" x14ac:dyDescent="0.3">
      <c r="B25" s="81" t="s">
        <v>128</v>
      </c>
      <c r="C25" s="82">
        <v>29.735458727655271</v>
      </c>
      <c r="D25" s="82">
        <v>16.899119800327476</v>
      </c>
      <c r="E25" s="82">
        <v>18.599561007887921</v>
      </c>
      <c r="F25" s="82">
        <v>19.479756590783424</v>
      </c>
      <c r="G25" s="82">
        <v>29.188054882965549</v>
      </c>
      <c r="H25" s="82">
        <v>33.182905344942384</v>
      </c>
      <c r="I25" s="82">
        <v>42.926219935326969</v>
      </c>
      <c r="J25" s="82">
        <v>31.976297082325559</v>
      </c>
      <c r="K25" s="82">
        <v>25.516587279528878</v>
      </c>
      <c r="L25" s="82" t="e">
        <v>#DIV/0!</v>
      </c>
      <c r="M25" s="82" t="e">
        <v>#DIV/0!</v>
      </c>
      <c r="N25" s="82" t="e">
        <v>#DIV/0!</v>
      </c>
      <c r="O25" s="82" t="e">
        <v>#DIV/0!</v>
      </c>
    </row>
  </sheetData>
  <conditionalFormatting pivot="1" sqref="C5:O18">
    <cfRule type="cellIs" dxfId="90" priority="1" operator="notBetween">
      <formula>0</formula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2"/>
  <headerFooter differentFirst="1">
    <oddFooter>&amp;LG05002   R02&amp;R&amp;P / &amp;N&amp;C&amp;"verdana,Regular"&amp;8Kurum İçi | Internal \  Kişisel Veri İçermez | Contains No Personal Data</oddFooter>
    <firstFooter>&amp;LG05002   R02&amp;CHizmete Özel&amp;R&amp;P / &amp;N</first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manualMax="100" manualMin="0" type="column" displayEmptyCellsAs="gap" minAxisType="group" maxAxisType="custom" xr2:uid="{00000000-0003-0000-0A00-00001C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Açıklanamayan!C17:N17</xm:f>
              <xm:sqref>P17</xm:sqref>
            </x14:sparkline>
          </x14:sparklines>
        </x14:sparklineGroup>
        <x14:sparklineGroup manualMax="100" manualMin="0" type="column" displayEmptyCellsAs="gap" minAxisType="group" maxAxisType="custom" xr2:uid="{00000000-0003-0000-0A00-00001D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Açıklanamayan!C16:N16</xm:f>
              <xm:sqref>P16</xm:sqref>
            </x14:sparkline>
          </x14:sparklines>
        </x14:sparklineGroup>
        <x14:sparklineGroup manualMax="100" manualMin="0" type="column" displayEmptyCellsAs="gap" minAxisType="group" maxAxisType="custom" xr2:uid="{00000000-0003-0000-0A00-00001E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Açıklanamayan!C15:N15</xm:f>
              <xm:sqref>P15</xm:sqref>
            </x14:sparkline>
          </x14:sparklines>
        </x14:sparklineGroup>
        <x14:sparklineGroup manualMax="100" manualMin="0" type="column" displayEmptyCellsAs="gap" minAxisType="group" maxAxisType="custom" xr2:uid="{00000000-0003-0000-0A00-00001F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Açıklanamayan!C14:N14</xm:f>
              <xm:sqref>P14</xm:sqref>
            </x14:sparkline>
          </x14:sparklines>
        </x14:sparklineGroup>
        <x14:sparklineGroup manualMax="100" manualMin="0" type="column" displayEmptyCellsAs="gap" minAxisType="group" maxAxisType="custom" xr2:uid="{00000000-0003-0000-0A00-00002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Açıklanamayan!C13:N13</xm:f>
              <xm:sqref>P13</xm:sqref>
            </x14:sparkline>
          </x14:sparklines>
        </x14:sparklineGroup>
        <x14:sparklineGroup manualMax="100" manualMin="0" type="column" displayEmptyCellsAs="gap" minAxisType="group" maxAxisType="custom" xr2:uid="{00000000-0003-0000-0A00-000021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Açıklanamayan!C12:N12</xm:f>
              <xm:sqref>P12</xm:sqref>
            </x14:sparkline>
          </x14:sparklines>
        </x14:sparklineGroup>
        <x14:sparklineGroup manualMax="100" manualMin="0" type="column" displayEmptyCellsAs="gap" minAxisType="group" maxAxisType="custom" xr2:uid="{00000000-0003-0000-0A00-000022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Açıklanamayan!C11:N11</xm:f>
              <xm:sqref>P11</xm:sqref>
            </x14:sparkline>
          </x14:sparklines>
        </x14:sparklineGroup>
        <x14:sparklineGroup manualMax="100" manualMin="0" type="column" displayEmptyCellsAs="gap" minAxisType="group" maxAxisType="custom" xr2:uid="{00000000-0003-0000-0A00-000023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Açıklanamayan!C10:N10</xm:f>
              <xm:sqref>P10</xm:sqref>
            </x14:sparkline>
          </x14:sparklines>
        </x14:sparklineGroup>
        <x14:sparklineGroup manualMax="100" manualMin="0" type="column" displayEmptyCellsAs="gap" minAxisType="group" maxAxisType="custom" xr2:uid="{00000000-0003-0000-0A00-000024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Açıklanamayan!C9:N9</xm:f>
              <xm:sqref>P9</xm:sqref>
            </x14:sparkline>
          </x14:sparklines>
        </x14:sparklineGroup>
        <x14:sparklineGroup manualMax="100" manualMin="0" type="column" displayEmptyCellsAs="gap" minAxisType="group" maxAxisType="custom" xr2:uid="{00000000-0003-0000-0A00-000025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Açıklanamayan!C8:N8</xm:f>
              <xm:sqref>P8</xm:sqref>
            </x14:sparkline>
          </x14:sparklines>
        </x14:sparklineGroup>
        <x14:sparklineGroup manualMax="100" manualMin="0" type="column" displayEmptyCellsAs="gap" maxAxisType="custom" xr2:uid="{00000000-0003-0000-0A00-000026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Açıklanamayan!C5:N5</xm:f>
              <xm:sqref>P5</xm:sqref>
            </x14:sparkline>
          </x14:sparklines>
        </x14:sparklineGroup>
        <x14:sparklineGroup manualMax="100" manualMin="0" type="column" displayEmptyCellsAs="gap" minAxisType="group" maxAxisType="custom" xr2:uid="{00000000-0003-0000-0A00-000027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Açıklanamayan!C18:N18</xm:f>
              <xm:sqref>P18</xm:sqref>
            </x14:sparkline>
          </x14:sparklines>
        </x14:sparklineGroup>
        <x14:sparklineGroup manualMax="100" manualMin="0" type="column" displayEmptyCellsAs="gap" minAxisType="group" maxAxisType="custom" xr2:uid="{00000000-0003-0000-0A00-000028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Açıklanamayan!C7:N7</xm:f>
              <xm:sqref>P7</xm:sqref>
            </x14:sparkline>
          </x14:sparklines>
        </x14:sparklineGroup>
        <x14:sparklineGroup manualMax="100" manualMin="0" type="column" displayEmptyCellsAs="gap" minAxisType="group" maxAxisType="custom" xr2:uid="{00000000-0003-0000-0A00-000029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Açıklanamayan!C6:N6</xm:f>
              <xm:sqref>P6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ayfa12">
    <tabColor rgb="FFFFFF00"/>
  </sheetPr>
  <dimension ref="B1:AB144"/>
  <sheetViews>
    <sheetView showGridLines="0" topLeftCell="A7" zoomScale="115" zoomScaleNormal="115" workbookViewId="0">
      <selection activeCell="D14" sqref="D14"/>
    </sheetView>
  </sheetViews>
  <sheetFormatPr defaultColWidth="8.88671875" defaultRowHeight="13.95" customHeight="1" x14ac:dyDescent="0.3"/>
  <cols>
    <col min="1" max="1" width="1.5546875" style="80" customWidth="1"/>
    <col min="2" max="2" width="29.21875" style="80" bestFit="1" customWidth="1"/>
    <col min="3" max="3" width="8.88671875" style="80" bestFit="1" customWidth="1"/>
    <col min="4" max="8" width="7.77734375" style="80" bestFit="1" customWidth="1"/>
    <col min="9" max="9" width="7.88671875" style="80" bestFit="1" customWidth="1"/>
    <col min="10" max="11" width="7.77734375" style="80" bestFit="1" customWidth="1"/>
    <col min="12" max="12" width="4.88671875" style="80" bestFit="1" customWidth="1"/>
    <col min="13" max="13" width="5.77734375" style="80" bestFit="1" customWidth="1"/>
    <col min="14" max="14" width="5.6640625" style="80" bestFit="1" customWidth="1"/>
    <col min="15" max="15" width="12.33203125" style="80" bestFit="1" customWidth="1"/>
    <col min="16" max="16" width="19.5546875" style="80" customWidth="1"/>
    <col min="17" max="17" width="22.88671875" style="80" customWidth="1"/>
    <col min="18" max="18" width="19.5546875" style="80" customWidth="1"/>
    <col min="19" max="19" width="22.88671875" style="80" customWidth="1"/>
    <col min="20" max="20" width="19.5546875" style="80" customWidth="1"/>
    <col min="21" max="21" width="22.88671875" style="80" customWidth="1"/>
    <col min="22" max="22" width="19.5546875" style="80" customWidth="1"/>
    <col min="23" max="23" width="22.88671875" style="80" customWidth="1"/>
    <col min="24" max="24" width="19.5546875" style="80" customWidth="1"/>
    <col min="25" max="25" width="22.88671875" style="80" customWidth="1"/>
    <col min="26" max="26" width="19.5546875" style="80" customWidth="1"/>
    <col min="27" max="27" width="30.109375" style="80" customWidth="1"/>
    <col min="28" max="28" width="26.88671875" style="80" customWidth="1"/>
    <col min="29" max="16384" width="8.88671875" style="80"/>
  </cols>
  <sheetData>
    <row r="1" spans="2:28" ht="13.95" customHeight="1" x14ac:dyDescent="0.3">
      <c r="B1"/>
      <c r="C1"/>
    </row>
    <row r="2" spans="2:28" ht="13.95" customHeight="1" x14ac:dyDescent="0.3">
      <c r="B2" s="79" t="s">
        <v>83</v>
      </c>
      <c r="C2" s="80" t="s">
        <v>527</v>
      </c>
    </row>
    <row r="3" spans="2:28" ht="13.95" customHeigh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spans="2:28" ht="13.95" customHeight="1" x14ac:dyDescent="0.3">
      <c r="B4" s="79" t="s">
        <v>528</v>
      </c>
      <c r="C4" s="79" t="s">
        <v>147</v>
      </c>
      <c r="P4"/>
      <c r="Q4"/>
      <c r="R4"/>
      <c r="S4"/>
      <c r="T4"/>
      <c r="U4"/>
      <c r="V4"/>
      <c r="W4"/>
      <c r="X4"/>
      <c r="Y4"/>
      <c r="Z4"/>
      <c r="AA4"/>
      <c r="AB4"/>
    </row>
    <row r="5" spans="2:28" ht="25.2" customHeight="1" x14ac:dyDescent="0.3">
      <c r="B5" s="79" t="s">
        <v>84</v>
      </c>
      <c r="C5" s="80" t="s">
        <v>107</v>
      </c>
      <c r="D5" s="80" t="s">
        <v>109</v>
      </c>
      <c r="E5" s="80" t="s">
        <v>110</v>
      </c>
      <c r="F5" s="80" t="s">
        <v>111</v>
      </c>
      <c r="G5" s="80" t="s">
        <v>112</v>
      </c>
      <c r="H5" s="80" t="s">
        <v>113</v>
      </c>
      <c r="I5" s="80" t="s">
        <v>114</v>
      </c>
      <c r="J5" s="80" t="s">
        <v>115</v>
      </c>
      <c r="K5" s="80" t="s">
        <v>116</v>
      </c>
      <c r="L5" s="80" t="s">
        <v>117</v>
      </c>
      <c r="M5" s="80" t="s">
        <v>118</v>
      </c>
      <c r="N5" s="80" t="s">
        <v>119</v>
      </c>
      <c r="O5" s="80" t="s">
        <v>128</v>
      </c>
      <c r="P5"/>
      <c r="Q5"/>
      <c r="R5"/>
      <c r="S5"/>
      <c r="T5"/>
      <c r="U5"/>
      <c r="V5"/>
      <c r="W5"/>
      <c r="X5"/>
      <c r="Y5"/>
      <c r="Z5"/>
      <c r="AA5"/>
      <c r="AB5"/>
    </row>
    <row r="6" spans="2:28" ht="25.2" customHeight="1" x14ac:dyDescent="0.3">
      <c r="B6" s="81" t="s">
        <v>5</v>
      </c>
      <c r="C6" s="82">
        <v>505</v>
      </c>
      <c r="D6" s="82">
        <v>1213.5</v>
      </c>
      <c r="E6" s="82">
        <v>1581.5</v>
      </c>
      <c r="F6" s="82">
        <v>1293.5</v>
      </c>
      <c r="G6" s="82">
        <v>1493</v>
      </c>
      <c r="H6" s="82">
        <v>1355</v>
      </c>
      <c r="I6" s="82">
        <v>550</v>
      </c>
      <c r="J6" s="82">
        <v>1149</v>
      </c>
      <c r="K6" s="82">
        <v>976.5</v>
      </c>
      <c r="L6" s="82"/>
      <c r="M6" s="82"/>
      <c r="N6" s="82"/>
      <c r="O6" s="82">
        <v>10117</v>
      </c>
      <c r="P6"/>
      <c r="Q6"/>
      <c r="R6"/>
      <c r="S6"/>
      <c r="T6"/>
      <c r="U6"/>
      <c r="V6"/>
      <c r="W6"/>
      <c r="X6"/>
      <c r="Y6"/>
      <c r="Z6"/>
      <c r="AA6"/>
      <c r="AB6"/>
    </row>
    <row r="7" spans="2:28" ht="25.2" customHeight="1" x14ac:dyDescent="0.3">
      <c r="B7" s="81" t="s">
        <v>46</v>
      </c>
      <c r="C7" s="82">
        <v>600</v>
      </c>
      <c r="D7" s="82">
        <v>1175.5</v>
      </c>
      <c r="E7" s="82">
        <v>1288</v>
      </c>
      <c r="F7" s="82">
        <v>1105</v>
      </c>
      <c r="G7" s="82">
        <v>988</v>
      </c>
      <c r="H7" s="82">
        <v>1093</v>
      </c>
      <c r="I7" s="82">
        <v>768.5</v>
      </c>
      <c r="J7" s="82">
        <v>1262</v>
      </c>
      <c r="K7" s="82">
        <v>1274</v>
      </c>
      <c r="L7" s="82"/>
      <c r="M7" s="82"/>
      <c r="N7" s="82"/>
      <c r="O7" s="82">
        <v>9554</v>
      </c>
      <c r="P7"/>
      <c r="Q7"/>
      <c r="R7"/>
      <c r="S7"/>
      <c r="T7"/>
      <c r="U7"/>
      <c r="V7"/>
      <c r="W7"/>
      <c r="X7"/>
      <c r="Y7"/>
      <c r="Z7"/>
      <c r="AA7"/>
      <c r="AB7"/>
    </row>
    <row r="8" spans="2:28" ht="25.2" customHeight="1" x14ac:dyDescent="0.3">
      <c r="B8" s="81" t="s">
        <v>9</v>
      </c>
      <c r="C8" s="82">
        <v>312</v>
      </c>
      <c r="D8" s="82">
        <v>572.5</v>
      </c>
      <c r="E8" s="82">
        <v>659</v>
      </c>
      <c r="F8" s="82">
        <v>500</v>
      </c>
      <c r="G8" s="82">
        <v>627</v>
      </c>
      <c r="H8" s="82">
        <v>680</v>
      </c>
      <c r="I8" s="82">
        <v>342.5</v>
      </c>
      <c r="J8" s="82">
        <v>609</v>
      </c>
      <c r="K8" s="82">
        <v>643.5</v>
      </c>
      <c r="L8" s="82"/>
      <c r="M8" s="82"/>
      <c r="N8" s="82"/>
      <c r="O8" s="82">
        <v>4945.5</v>
      </c>
      <c r="P8"/>
      <c r="Q8"/>
      <c r="R8"/>
      <c r="S8"/>
      <c r="T8"/>
      <c r="U8"/>
      <c r="V8"/>
      <c r="W8"/>
      <c r="X8"/>
      <c r="Y8"/>
      <c r="Z8"/>
      <c r="AA8"/>
      <c r="AB8"/>
    </row>
    <row r="9" spans="2:28" ht="25.2" customHeight="1" x14ac:dyDescent="0.3">
      <c r="B9" s="81" t="s">
        <v>13</v>
      </c>
      <c r="C9" s="82">
        <v>541.5</v>
      </c>
      <c r="D9" s="82">
        <v>966.5</v>
      </c>
      <c r="E9" s="82">
        <v>1139</v>
      </c>
      <c r="F9" s="82">
        <v>1024.5</v>
      </c>
      <c r="G9" s="82">
        <v>1114.5</v>
      </c>
      <c r="H9" s="82">
        <v>1090</v>
      </c>
      <c r="I9" s="82">
        <v>692</v>
      </c>
      <c r="J9" s="82">
        <v>993.5</v>
      </c>
      <c r="K9" s="82">
        <v>1008.5</v>
      </c>
      <c r="L9" s="82"/>
      <c r="M9" s="82"/>
      <c r="N9" s="82"/>
      <c r="O9" s="82">
        <v>8570</v>
      </c>
      <c r="P9"/>
      <c r="Q9"/>
      <c r="R9"/>
      <c r="S9"/>
      <c r="T9"/>
      <c r="U9"/>
      <c r="V9"/>
      <c r="W9"/>
      <c r="X9"/>
      <c r="Y9"/>
      <c r="Z9"/>
      <c r="AA9"/>
      <c r="AB9"/>
    </row>
    <row r="10" spans="2:28" ht="25.2" customHeight="1" x14ac:dyDescent="0.3">
      <c r="B10" s="81" t="s">
        <v>26</v>
      </c>
      <c r="C10" s="82">
        <v>320</v>
      </c>
      <c r="D10" s="82">
        <v>357.5</v>
      </c>
      <c r="E10" s="82">
        <v>403.5</v>
      </c>
      <c r="F10" s="82">
        <v>432.5</v>
      </c>
      <c r="G10" s="82">
        <v>500</v>
      </c>
      <c r="H10" s="82">
        <v>546</v>
      </c>
      <c r="I10" s="82">
        <v>182</v>
      </c>
      <c r="J10" s="82">
        <v>477</v>
      </c>
      <c r="K10" s="82">
        <v>399</v>
      </c>
      <c r="L10" s="82"/>
      <c r="M10" s="82"/>
      <c r="N10" s="82"/>
      <c r="O10" s="82">
        <v>3617.5</v>
      </c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2:28" ht="25.2" customHeight="1" x14ac:dyDescent="0.3">
      <c r="B11" s="81" t="s">
        <v>32</v>
      </c>
      <c r="C11" s="82">
        <v>424</v>
      </c>
      <c r="D11" s="82">
        <v>649.5</v>
      </c>
      <c r="E11" s="82">
        <v>658</v>
      </c>
      <c r="F11" s="82">
        <v>472</v>
      </c>
      <c r="G11" s="82">
        <v>614.5</v>
      </c>
      <c r="H11" s="82"/>
      <c r="I11" s="82"/>
      <c r="J11" s="82"/>
      <c r="K11" s="82"/>
      <c r="L11" s="82"/>
      <c r="M11" s="82"/>
      <c r="N11" s="82"/>
      <c r="O11" s="82">
        <v>2818</v>
      </c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2:28" ht="25.2" customHeight="1" x14ac:dyDescent="0.3">
      <c r="B12" s="81" t="s">
        <v>43</v>
      </c>
      <c r="C12" s="82">
        <v>296</v>
      </c>
      <c r="D12" s="82">
        <v>639.5</v>
      </c>
      <c r="E12" s="82">
        <v>810.5</v>
      </c>
      <c r="F12" s="82">
        <v>673.5</v>
      </c>
      <c r="G12" s="82">
        <v>725</v>
      </c>
      <c r="H12" s="82">
        <v>761</v>
      </c>
      <c r="I12" s="82">
        <v>440.5</v>
      </c>
      <c r="J12" s="82">
        <v>738</v>
      </c>
      <c r="K12" s="82">
        <v>750.5</v>
      </c>
      <c r="L12" s="82"/>
      <c r="M12" s="82"/>
      <c r="N12" s="82"/>
      <c r="O12" s="82">
        <v>5834.5</v>
      </c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2:28" ht="25.2" customHeight="1" x14ac:dyDescent="0.3">
      <c r="B13" s="81" t="s">
        <v>17</v>
      </c>
      <c r="C13" s="82">
        <v>448.5</v>
      </c>
      <c r="D13" s="82">
        <v>983</v>
      </c>
      <c r="E13" s="82">
        <v>1010.5</v>
      </c>
      <c r="F13" s="82">
        <v>781</v>
      </c>
      <c r="G13" s="82">
        <v>895</v>
      </c>
      <c r="H13" s="82">
        <v>984.5</v>
      </c>
      <c r="I13" s="82">
        <v>612.5</v>
      </c>
      <c r="J13" s="82">
        <v>818</v>
      </c>
      <c r="K13" s="82">
        <v>819</v>
      </c>
      <c r="L13" s="82"/>
      <c r="M13" s="82"/>
      <c r="N13" s="82"/>
      <c r="O13" s="82">
        <v>7352</v>
      </c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2:28" ht="25.2" customHeight="1" x14ac:dyDescent="0.3">
      <c r="B14" s="81" t="s">
        <v>29</v>
      </c>
      <c r="C14" s="82">
        <v>369</v>
      </c>
      <c r="D14" s="82">
        <v>503.5</v>
      </c>
      <c r="E14" s="82">
        <v>529.5</v>
      </c>
      <c r="F14" s="82">
        <v>500.5</v>
      </c>
      <c r="G14" s="82">
        <v>740.5</v>
      </c>
      <c r="H14" s="82">
        <v>675</v>
      </c>
      <c r="I14" s="82">
        <v>372.5</v>
      </c>
      <c r="J14" s="82">
        <v>533</v>
      </c>
      <c r="K14" s="82">
        <v>418</v>
      </c>
      <c r="L14" s="82"/>
      <c r="M14" s="82"/>
      <c r="N14" s="82"/>
      <c r="O14" s="82">
        <v>4641.5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ht="25.2" customHeight="1" x14ac:dyDescent="0.3">
      <c r="B15" s="81" t="s">
        <v>40</v>
      </c>
      <c r="C15" s="82">
        <v>310</v>
      </c>
      <c r="D15" s="82">
        <v>438</v>
      </c>
      <c r="E15" s="82">
        <v>442</v>
      </c>
      <c r="F15" s="82">
        <v>407</v>
      </c>
      <c r="G15" s="82">
        <v>452.5</v>
      </c>
      <c r="H15" s="82">
        <v>448</v>
      </c>
      <c r="I15" s="82">
        <v>118.5</v>
      </c>
      <c r="J15" s="82">
        <v>132</v>
      </c>
      <c r="K15" s="82">
        <v>214</v>
      </c>
      <c r="L15" s="82"/>
      <c r="M15" s="82"/>
      <c r="N15" s="82"/>
      <c r="O15" s="82">
        <v>2962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ht="25.2" customHeight="1" x14ac:dyDescent="0.3">
      <c r="B16" s="81" t="s">
        <v>35</v>
      </c>
      <c r="C16" s="82">
        <v>477.5</v>
      </c>
      <c r="D16" s="82">
        <v>867</v>
      </c>
      <c r="E16" s="82">
        <v>1068</v>
      </c>
      <c r="F16" s="82">
        <v>921.5</v>
      </c>
      <c r="G16" s="82">
        <v>900</v>
      </c>
      <c r="H16" s="82">
        <v>850.5</v>
      </c>
      <c r="I16" s="82">
        <v>697</v>
      </c>
      <c r="J16" s="82">
        <v>927</v>
      </c>
      <c r="K16" s="82">
        <v>833.5</v>
      </c>
      <c r="L16" s="82"/>
      <c r="M16" s="82"/>
      <c r="N16" s="82"/>
      <c r="O16" s="82">
        <v>7542</v>
      </c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ht="25.2" customHeight="1" x14ac:dyDescent="0.3">
      <c r="B17" s="81" t="s">
        <v>25</v>
      </c>
      <c r="C17" s="82">
        <v>1691.5</v>
      </c>
      <c r="D17" s="82">
        <v>2522.5</v>
      </c>
      <c r="E17" s="82">
        <v>2746.5</v>
      </c>
      <c r="F17" s="82">
        <v>2555.5</v>
      </c>
      <c r="G17" s="82">
        <v>2818</v>
      </c>
      <c r="H17" s="82">
        <v>2535</v>
      </c>
      <c r="I17" s="82">
        <v>2441</v>
      </c>
      <c r="J17" s="82">
        <v>3448.5</v>
      </c>
      <c r="K17" s="82">
        <v>2320</v>
      </c>
      <c r="L17" s="82"/>
      <c r="M17" s="82"/>
      <c r="N17" s="82"/>
      <c r="O17" s="82">
        <v>23078.5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ht="25.2" customHeight="1" x14ac:dyDescent="0.3">
      <c r="B18" s="81" t="s">
        <v>20</v>
      </c>
      <c r="C18" s="82">
        <v>615.5</v>
      </c>
      <c r="D18" s="82">
        <v>562.5</v>
      </c>
      <c r="E18" s="82">
        <v>686.5</v>
      </c>
      <c r="F18" s="82">
        <v>540.5</v>
      </c>
      <c r="G18" s="82">
        <v>757</v>
      </c>
      <c r="H18" s="82">
        <v>691</v>
      </c>
      <c r="I18" s="82">
        <v>611</v>
      </c>
      <c r="J18" s="82">
        <v>712.5</v>
      </c>
      <c r="K18" s="82">
        <v>1611</v>
      </c>
      <c r="L18" s="82"/>
      <c r="M18" s="82"/>
      <c r="N18" s="82"/>
      <c r="O18" s="82">
        <v>6787.5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ht="17.399999999999999" customHeight="1" x14ac:dyDescent="0.3">
      <c r="B19" s="81" t="s">
        <v>23</v>
      </c>
      <c r="C19" s="82">
        <v>311</v>
      </c>
      <c r="D19" s="82">
        <v>279</v>
      </c>
      <c r="E19" s="82">
        <v>312.5</v>
      </c>
      <c r="F19" s="82">
        <v>287</v>
      </c>
      <c r="G19" s="82">
        <v>241</v>
      </c>
      <c r="H19" s="82">
        <v>266.5</v>
      </c>
      <c r="I19" s="82">
        <v>280</v>
      </c>
      <c r="J19" s="82">
        <v>390</v>
      </c>
      <c r="K19" s="82">
        <v>384.5</v>
      </c>
      <c r="L19" s="82"/>
      <c r="M19" s="82"/>
      <c r="N19" s="82"/>
      <c r="O19" s="82">
        <v>2751.5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ht="23.4" customHeight="1" x14ac:dyDescent="0.3">
      <c r="B20" s="81" t="s">
        <v>19</v>
      </c>
      <c r="C20" s="82">
        <v>575</v>
      </c>
      <c r="D20" s="82">
        <v>499.5</v>
      </c>
      <c r="E20" s="82">
        <v>555</v>
      </c>
      <c r="F20" s="82">
        <v>598.5</v>
      </c>
      <c r="G20" s="82">
        <v>466</v>
      </c>
      <c r="H20" s="82">
        <v>353</v>
      </c>
      <c r="I20" s="82">
        <v>353.5</v>
      </c>
      <c r="J20" s="82">
        <v>467</v>
      </c>
      <c r="K20" s="82">
        <v>213</v>
      </c>
      <c r="L20" s="82"/>
      <c r="M20" s="82"/>
      <c r="N20" s="82"/>
      <c r="O20" s="82">
        <v>4080.5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ht="13.95" customHeight="1" x14ac:dyDescent="0.3">
      <c r="B21" s="81" t="s">
        <v>1015</v>
      </c>
      <c r="C21" s="82"/>
      <c r="D21" s="82"/>
      <c r="E21" s="82"/>
      <c r="F21" s="82"/>
      <c r="G21" s="82"/>
      <c r="H21" s="82">
        <v>183.5</v>
      </c>
      <c r="I21" s="82">
        <v>102.5</v>
      </c>
      <c r="J21" s="82"/>
      <c r="K21" s="82">
        <v>148.5</v>
      </c>
      <c r="L21" s="82"/>
      <c r="M21" s="82"/>
      <c r="N21" s="82"/>
      <c r="O21" s="82">
        <v>434.5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ht="13.95" customHeight="1" x14ac:dyDescent="0.3">
      <c r="B22" s="81" t="s">
        <v>1016</v>
      </c>
      <c r="C22" s="82"/>
      <c r="D22" s="82"/>
      <c r="E22" s="82"/>
      <c r="F22" s="82"/>
      <c r="G22" s="82"/>
      <c r="H22" s="82">
        <v>302.5</v>
      </c>
      <c r="I22" s="82">
        <v>215.5</v>
      </c>
      <c r="J22" s="82"/>
      <c r="K22" s="82">
        <v>246</v>
      </c>
      <c r="L22" s="82"/>
      <c r="M22" s="82"/>
      <c r="N22" s="82"/>
      <c r="O22" s="82">
        <v>764</v>
      </c>
    </row>
    <row r="23" spans="2:28" ht="13.95" customHeight="1" x14ac:dyDescent="0.3">
      <c r="B23" s="81" t="s">
        <v>1017</v>
      </c>
      <c r="C23" s="82"/>
      <c r="D23" s="82"/>
      <c r="E23" s="82"/>
      <c r="F23" s="82"/>
      <c r="G23" s="82"/>
      <c r="H23" s="82">
        <v>200</v>
      </c>
      <c r="I23" s="82">
        <v>155.5</v>
      </c>
      <c r="J23" s="82"/>
      <c r="K23" s="82">
        <v>107.5</v>
      </c>
      <c r="L23" s="82"/>
      <c r="M23" s="82"/>
      <c r="N23" s="82"/>
      <c r="O23" s="82">
        <v>463</v>
      </c>
    </row>
    <row r="24" spans="2:28" ht="13.95" customHeight="1" x14ac:dyDescent="0.3">
      <c r="B24" s="81" t="s">
        <v>1014</v>
      </c>
      <c r="C24" s="82"/>
      <c r="D24" s="82"/>
      <c r="E24" s="82"/>
      <c r="F24" s="82"/>
      <c r="G24" s="82"/>
      <c r="H24" s="82">
        <v>1651.5</v>
      </c>
      <c r="I24" s="82">
        <v>1218.5</v>
      </c>
      <c r="J24" s="82">
        <v>1690</v>
      </c>
      <c r="K24" s="82">
        <v>1758.5</v>
      </c>
      <c r="L24" s="82"/>
      <c r="M24" s="82"/>
      <c r="N24" s="82"/>
      <c r="O24" s="82">
        <v>6318.5</v>
      </c>
    </row>
    <row r="25" spans="2:28" ht="13.95" customHeight="1" x14ac:dyDescent="0.3">
      <c r="B25" s="81" t="s">
        <v>1070</v>
      </c>
      <c r="C25" s="82"/>
      <c r="D25" s="82"/>
      <c r="E25" s="82"/>
      <c r="F25" s="82"/>
      <c r="G25" s="82"/>
      <c r="H25" s="82"/>
      <c r="I25" s="82"/>
      <c r="J25" s="82">
        <v>605</v>
      </c>
      <c r="K25" s="82"/>
      <c r="L25" s="82"/>
      <c r="M25" s="82"/>
      <c r="N25" s="82"/>
      <c r="O25" s="82">
        <v>605</v>
      </c>
    </row>
    <row r="26" spans="2:28" ht="13.95" customHeight="1" x14ac:dyDescent="0.3">
      <c r="B26" s="81" t="s">
        <v>128</v>
      </c>
      <c r="C26" s="82">
        <v>7796.5</v>
      </c>
      <c r="D26" s="82">
        <v>12229.5</v>
      </c>
      <c r="E26" s="82">
        <v>13890</v>
      </c>
      <c r="F26" s="82">
        <v>12092.5</v>
      </c>
      <c r="G26" s="82">
        <v>13332</v>
      </c>
      <c r="H26" s="82">
        <v>14666</v>
      </c>
      <c r="I26" s="82">
        <v>10153.5</v>
      </c>
      <c r="J26" s="82">
        <v>14951.5</v>
      </c>
      <c r="K26" s="82">
        <v>14125.5</v>
      </c>
      <c r="L26" s="82"/>
      <c r="M26" s="82"/>
      <c r="N26" s="82"/>
      <c r="O26" s="82">
        <v>113237</v>
      </c>
    </row>
    <row r="27" spans="2:28" ht="13.95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2:28" ht="13.95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28" ht="13.95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28" ht="13.95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28" ht="13.95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2:28" ht="13.95" customHeight="1" x14ac:dyDescent="0.3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5" ht="13.95" customHeight="1" x14ac:dyDescent="0.3"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2:15" ht="13.95" customHeight="1" x14ac:dyDescent="0.3"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2:15" ht="13.95" customHeight="1" x14ac:dyDescent="0.3"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2:15" ht="13.95" customHeight="1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2:15" ht="13.95" customHeight="1" x14ac:dyDescent="0.3"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2:15" ht="13.95" customHeight="1" x14ac:dyDescent="0.3"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2:15" ht="13.95" customHeight="1" x14ac:dyDescent="0.3"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2:15" ht="13.95" customHeight="1" x14ac:dyDescent="0.3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2:15" ht="13.95" customHeight="1" x14ac:dyDescent="0.3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2:15" ht="13.95" customHeight="1" x14ac:dyDescent="0.3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2:15" ht="13.95" customHeight="1" x14ac:dyDescent="0.3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2:15" ht="13.95" customHeight="1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2:15" ht="13.95" customHeight="1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2:15" ht="13.95" customHeight="1" x14ac:dyDescent="0.3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2:15" ht="13.95" customHeight="1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2:15" ht="13.95" customHeight="1" x14ac:dyDescent="0.3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2:15" ht="13.95" customHeight="1" x14ac:dyDescent="0.3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2:15" ht="13.95" customHeight="1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15" ht="13.95" customHeight="1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15" ht="13.95" customHeight="1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2:15" ht="13.95" customHeight="1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2:15" ht="13.95" customHeight="1" x14ac:dyDescent="0.3"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2:15" ht="13.95" customHeight="1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2:15" ht="13.95" customHeight="1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ht="13.95" customHeight="1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2:15" ht="13.95" customHeight="1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2:15" ht="13.95" customHeight="1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2:15" ht="13.95" customHeight="1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2:15" ht="13.95" customHeight="1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2:15" ht="13.95" customHeight="1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2:15" ht="13.95" customHeight="1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2:15" ht="13.95" customHeight="1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2:15" ht="13.95" customHeight="1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2:15" ht="13.95" customHeight="1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2:15" ht="13.95" customHeight="1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2:15" ht="13.95" customHeight="1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2:15" ht="13.95" customHeight="1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2:15" ht="13.95" customHeight="1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2:15" ht="13.95" customHeight="1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2:15" ht="13.95" customHeight="1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2:15" ht="13.95" customHeight="1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2:15" ht="13.95" customHeight="1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2:15" ht="13.95" customHeight="1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2:15" ht="13.95" customHeight="1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2:15" ht="13.95" customHeight="1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2:15" ht="13.95" customHeight="1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2:15" ht="13.95" customHeight="1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2:15" ht="13.95" customHeight="1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2:15" ht="13.95" customHeight="1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2:15" ht="13.95" customHeight="1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2:15" ht="13.95" customHeight="1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2:15" ht="13.95" customHeight="1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2:15" ht="13.95" customHeight="1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2:15" ht="13.95" customHeight="1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2:15" ht="13.95" customHeight="1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2:15" ht="13.95" customHeight="1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2:15" ht="13.95" customHeight="1" x14ac:dyDescent="0.3"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2:15" ht="13.95" customHeight="1" x14ac:dyDescent="0.3"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2:15" ht="13.95" customHeight="1" x14ac:dyDescent="0.3"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2:15" ht="13.95" customHeight="1" x14ac:dyDescent="0.3"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2:15" ht="13.95" customHeight="1" x14ac:dyDescent="0.3"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2:15" ht="13.95" customHeight="1" x14ac:dyDescent="0.3"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2:15" ht="13.95" customHeight="1" x14ac:dyDescent="0.3"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2:15" ht="13.95" customHeight="1" x14ac:dyDescent="0.3"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2:15" ht="13.95" customHeight="1" x14ac:dyDescent="0.3"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2:15" ht="13.95" customHeight="1" x14ac:dyDescent="0.3"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2:15" ht="13.95" customHeight="1" x14ac:dyDescent="0.3"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2:15" ht="13.95" customHeight="1" x14ac:dyDescent="0.3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2:15" ht="13.95" customHeight="1" x14ac:dyDescent="0.3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2:15" ht="13.95" customHeight="1" x14ac:dyDescent="0.3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2:15" ht="13.95" customHeight="1" x14ac:dyDescent="0.3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2:15" ht="13.95" customHeight="1" x14ac:dyDescent="0.3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2:15" ht="13.95" customHeight="1" x14ac:dyDescent="0.3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2:15" ht="13.95" customHeight="1" x14ac:dyDescent="0.3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2:15" ht="13.95" customHeight="1" x14ac:dyDescent="0.3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2:15" ht="13.95" customHeight="1" x14ac:dyDescent="0.3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2:15" ht="13.95" customHeight="1" x14ac:dyDescent="0.3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2:15" ht="13.95" customHeight="1" x14ac:dyDescent="0.3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2:15" ht="13.95" customHeight="1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2:15" ht="13.95" customHeight="1" x14ac:dyDescent="0.3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2:15" ht="13.95" customHeight="1" x14ac:dyDescent="0.3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2:15" ht="13.95" customHeight="1" x14ac:dyDescent="0.3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2:15" ht="13.95" customHeight="1" x14ac:dyDescent="0.3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2:15" ht="13.95" customHeight="1" x14ac:dyDescent="0.3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2:15" ht="13.95" customHeight="1" x14ac:dyDescent="0.3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2:15" ht="13.95" customHeight="1" x14ac:dyDescent="0.3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2:15" ht="13.95" customHeight="1" x14ac:dyDescent="0.3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2:15" ht="13.95" customHeight="1" x14ac:dyDescent="0.3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2:15" ht="13.95" customHeight="1" x14ac:dyDescent="0.3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2:15" ht="13.95" customHeight="1" x14ac:dyDescent="0.3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2:15" ht="13.95" customHeight="1" x14ac:dyDescent="0.3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2:15" ht="13.95" customHeight="1" x14ac:dyDescent="0.3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2:15" ht="13.95" customHeight="1" x14ac:dyDescent="0.3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2:15" ht="13.95" customHeight="1" x14ac:dyDescent="0.3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2:15" ht="13.95" customHeight="1" x14ac:dyDescent="0.3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2:15" ht="13.95" customHeight="1" x14ac:dyDescent="0.3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2:15" ht="13.95" customHeight="1" x14ac:dyDescent="0.3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2:15" ht="13.95" customHeight="1" x14ac:dyDescent="0.3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2:15" ht="13.95" customHeight="1" x14ac:dyDescent="0.3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2:15" ht="13.95" customHeight="1" x14ac:dyDescent="0.3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2:15" ht="13.95" customHeight="1" x14ac:dyDescent="0.3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2:15" ht="13.95" customHeight="1" x14ac:dyDescent="0.3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2:15" ht="13.95" customHeight="1" x14ac:dyDescent="0.3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2:15" ht="13.95" customHeight="1" x14ac:dyDescent="0.3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2:15" ht="13.95" customHeight="1" x14ac:dyDescent="0.3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2:15" ht="13.95" customHeight="1" x14ac:dyDescent="0.3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2:15" ht="13.95" customHeight="1" x14ac:dyDescent="0.3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2:15" ht="13.95" customHeight="1" x14ac:dyDescent="0.3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2:15" ht="13.95" customHeight="1" x14ac:dyDescent="0.3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2:15" ht="13.95" customHeight="1" x14ac:dyDescent="0.3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2:15" ht="13.95" customHeight="1" x14ac:dyDescent="0.3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2:15" ht="13.95" customHeight="1" x14ac:dyDescent="0.3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</sheetData>
  <pageMargins left="0.70866141732283472" right="0.70866141732283472" top="0.74803149606299213" bottom="0.74803149606299213" header="0.31496062992125984" footer="0.31496062992125984"/>
  <pageSetup paperSize="9" orientation="landscape" r:id="rId2"/>
  <headerFooter differentFirst="1">
    <oddFooter>&amp;LG05002   R02&amp;R&amp;P / &amp;N&amp;C&amp;"verdana,Regular"&amp;8Kurum İçi | Internal \  Kişisel Veri İçermez | Contains No Personal Data</oddFooter>
    <firstFooter>&amp;LG05002   R02&amp;CHizmete Özel&amp;R&amp;P / &amp;N</first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manualMax="100" manualMin="0" type="column" displayEmptyCellsAs="gap" minAxisType="group" maxAxisType="custom" xr2:uid="{00000000-0003-0000-0B00-00002A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Direk'!C17:N17</xm:f>
              <xm:sqref>P17</xm:sqref>
            </x14:sparkline>
          </x14:sparklines>
        </x14:sparklineGroup>
        <x14:sparklineGroup manualMax="100" manualMin="0" type="column" displayEmptyCellsAs="gap" minAxisType="group" maxAxisType="custom" xr2:uid="{00000000-0003-0000-0B00-00002B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Direk'!C16:N16</xm:f>
              <xm:sqref>P16</xm:sqref>
            </x14:sparkline>
          </x14:sparklines>
        </x14:sparklineGroup>
        <x14:sparklineGroup manualMax="100" manualMin="0" type="column" displayEmptyCellsAs="gap" minAxisType="group" maxAxisType="custom" xr2:uid="{00000000-0003-0000-0B00-00002C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Direk'!C15:N15</xm:f>
              <xm:sqref>P15</xm:sqref>
            </x14:sparkline>
          </x14:sparklines>
        </x14:sparklineGroup>
        <x14:sparklineGroup manualMax="100" manualMin="0" type="column" displayEmptyCellsAs="gap" minAxisType="group" maxAxisType="custom" xr2:uid="{00000000-0003-0000-0B00-00002D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Direk'!C14:N14</xm:f>
              <xm:sqref>P14</xm:sqref>
            </x14:sparkline>
          </x14:sparklines>
        </x14:sparklineGroup>
        <x14:sparklineGroup manualMax="100" manualMin="0" type="column" displayEmptyCellsAs="gap" minAxisType="group" maxAxisType="custom" xr2:uid="{00000000-0003-0000-0B00-00002E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Direk'!C13:N13</xm:f>
              <xm:sqref>P13</xm:sqref>
            </x14:sparkline>
          </x14:sparklines>
        </x14:sparklineGroup>
        <x14:sparklineGroup manualMax="100" manualMin="0" type="column" displayEmptyCellsAs="gap" minAxisType="group" maxAxisType="custom" xr2:uid="{00000000-0003-0000-0B00-00002F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Direk'!C12:N12</xm:f>
              <xm:sqref>P12</xm:sqref>
            </x14:sparkline>
          </x14:sparklines>
        </x14:sparklineGroup>
        <x14:sparklineGroup manualMax="100" manualMin="0" type="column" displayEmptyCellsAs="gap" minAxisType="group" maxAxisType="custom" xr2:uid="{00000000-0003-0000-0B00-00003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Direk'!C11:N11</xm:f>
              <xm:sqref>P11</xm:sqref>
            </x14:sparkline>
          </x14:sparklines>
        </x14:sparklineGroup>
        <x14:sparklineGroup manualMax="100" manualMin="0" type="column" displayEmptyCellsAs="gap" minAxisType="group" maxAxisType="custom" xr2:uid="{00000000-0003-0000-0B00-000031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Direk'!C10:N10</xm:f>
              <xm:sqref>P10</xm:sqref>
            </x14:sparkline>
          </x14:sparklines>
        </x14:sparklineGroup>
        <x14:sparklineGroup manualMax="100" manualMin="0" type="column" displayEmptyCellsAs="gap" minAxisType="group" maxAxisType="custom" xr2:uid="{00000000-0003-0000-0B00-000032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Direk'!C9:N9</xm:f>
              <xm:sqref>P9</xm:sqref>
            </x14:sparkline>
          </x14:sparklines>
        </x14:sparklineGroup>
        <x14:sparklineGroup manualMax="100" manualMin="0" type="column" displayEmptyCellsAs="gap" minAxisType="group" maxAxisType="custom" xr2:uid="{00000000-0003-0000-0B00-000033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Direk'!C8:N8</xm:f>
              <xm:sqref>P8</xm:sqref>
            </x14:sparkline>
          </x14:sparklines>
        </x14:sparklineGroup>
        <x14:sparklineGroup manualMax="100" manualMin="0" type="column" displayEmptyCellsAs="gap" maxAxisType="custom" xr2:uid="{00000000-0003-0000-0B00-000034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Direk'!C5:N5</xm:f>
              <xm:sqref>P5</xm:sqref>
            </x14:sparkline>
          </x14:sparklines>
        </x14:sparklineGroup>
        <x14:sparklineGroup manualMax="100" manualMin="0" type="column" displayEmptyCellsAs="gap" minAxisType="group" maxAxisType="custom" xr2:uid="{00000000-0003-0000-0B00-000035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Direk'!C18:N18</xm:f>
              <xm:sqref>P18</xm:sqref>
            </x14:sparkline>
          </x14:sparklines>
        </x14:sparklineGroup>
        <x14:sparklineGroup manualMax="100" manualMin="0" type="column" displayEmptyCellsAs="gap" minAxisType="group" maxAxisType="custom" xr2:uid="{00000000-0003-0000-0B00-000036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Direk'!C7:N7</xm:f>
              <xm:sqref>P7</xm:sqref>
            </x14:sparkline>
          </x14:sparklines>
        </x14:sparklineGroup>
        <x14:sparklineGroup manualMax="100" manualMin="0" type="column" displayEmptyCellsAs="gap" minAxisType="group" maxAxisType="custom" xr2:uid="{00000000-0003-0000-0B00-000037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Direk'!C6:N6</xm:f>
              <xm:sqref>P6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ayfa13">
    <tabColor rgb="FFFFFF00"/>
  </sheetPr>
  <dimension ref="B1:AB145"/>
  <sheetViews>
    <sheetView showGridLines="0" topLeftCell="A7" zoomScale="115" zoomScaleNormal="115" workbookViewId="0">
      <selection activeCell="C19" activeCellId="1" sqref="C17 C19"/>
    </sheetView>
  </sheetViews>
  <sheetFormatPr defaultColWidth="8.88671875" defaultRowHeight="13.95" customHeight="1" x14ac:dyDescent="0.3"/>
  <cols>
    <col min="1" max="1" width="1.5546875" style="80" customWidth="1"/>
    <col min="2" max="2" width="29.21875" style="80" bestFit="1" customWidth="1"/>
    <col min="3" max="3" width="8.88671875" style="80" bestFit="1" customWidth="1"/>
    <col min="4" max="7" width="6.6640625" style="80" bestFit="1" customWidth="1"/>
    <col min="8" max="8" width="7.109375" style="80" bestFit="1" customWidth="1"/>
    <col min="9" max="9" width="7.88671875" style="80" bestFit="1" customWidth="1"/>
    <col min="10" max="10" width="7.33203125" style="80" bestFit="1" customWidth="1"/>
    <col min="11" max="11" width="6.6640625" style="80" bestFit="1" customWidth="1"/>
    <col min="12" max="12" width="4.88671875" style="80" bestFit="1" customWidth="1"/>
    <col min="13" max="13" width="5.77734375" style="80" bestFit="1" customWidth="1"/>
    <col min="14" max="14" width="5.6640625" style="80" bestFit="1" customWidth="1"/>
    <col min="15" max="15" width="12.33203125" style="80" bestFit="1" customWidth="1"/>
    <col min="16" max="16" width="21.33203125" style="80" customWidth="1"/>
    <col min="17" max="17" width="22.88671875" style="80" customWidth="1"/>
    <col min="18" max="18" width="21.33203125" style="80" customWidth="1"/>
    <col min="19" max="19" width="22.88671875" style="80" customWidth="1"/>
    <col min="20" max="20" width="21.33203125" style="80" customWidth="1"/>
    <col min="21" max="21" width="22.88671875" style="80" customWidth="1"/>
    <col min="22" max="22" width="21.33203125" style="80" customWidth="1"/>
    <col min="23" max="23" width="22.88671875" style="80" customWidth="1"/>
    <col min="24" max="24" width="21.33203125" style="80" customWidth="1"/>
    <col min="25" max="25" width="22.88671875" style="80" customWidth="1"/>
    <col min="26" max="26" width="21.33203125" style="80" customWidth="1"/>
    <col min="27" max="27" width="30.109375" style="80" customWidth="1"/>
    <col min="28" max="28" width="28.6640625" style="80" customWidth="1"/>
    <col min="29" max="16384" width="8.88671875" style="80"/>
  </cols>
  <sheetData>
    <row r="1" spans="2:28" ht="13.95" customHeight="1" x14ac:dyDescent="0.3">
      <c r="B1"/>
      <c r="C1"/>
    </row>
    <row r="2" spans="2:28" ht="13.95" customHeight="1" x14ac:dyDescent="0.3">
      <c r="B2" s="79" t="s">
        <v>83</v>
      </c>
      <c r="C2" s="80" t="s">
        <v>527</v>
      </c>
    </row>
    <row r="3" spans="2:28" ht="13.95" customHeigh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spans="2:28" ht="13.95" customHeight="1" x14ac:dyDescent="0.3">
      <c r="B4" s="79" t="s">
        <v>529</v>
      </c>
      <c r="C4" s="79" t="s">
        <v>147</v>
      </c>
      <c r="P4"/>
      <c r="Q4"/>
      <c r="R4"/>
      <c r="S4"/>
      <c r="T4"/>
      <c r="U4"/>
      <c r="V4"/>
      <c r="W4"/>
      <c r="X4"/>
      <c r="Y4"/>
      <c r="Z4"/>
      <c r="AA4"/>
      <c r="AB4"/>
    </row>
    <row r="5" spans="2:28" ht="25.2" customHeight="1" x14ac:dyDescent="0.3">
      <c r="B5" s="79" t="s">
        <v>84</v>
      </c>
      <c r="C5" s="80" t="s">
        <v>107</v>
      </c>
      <c r="D5" s="80" t="s">
        <v>109</v>
      </c>
      <c r="E5" s="80" t="s">
        <v>110</v>
      </c>
      <c r="F5" s="80" t="s">
        <v>111</v>
      </c>
      <c r="G5" s="80" t="s">
        <v>112</v>
      </c>
      <c r="H5" s="80" t="s">
        <v>113</v>
      </c>
      <c r="I5" s="80" t="s">
        <v>114</v>
      </c>
      <c r="J5" s="80" t="s">
        <v>115</v>
      </c>
      <c r="K5" s="80" t="s">
        <v>116</v>
      </c>
      <c r="L5" s="80" t="s">
        <v>117</v>
      </c>
      <c r="M5" s="80" t="s">
        <v>118</v>
      </c>
      <c r="N5" s="80" t="s">
        <v>119</v>
      </c>
      <c r="O5" s="80" t="s">
        <v>128</v>
      </c>
      <c r="P5"/>
      <c r="Q5"/>
      <c r="R5"/>
      <c r="S5"/>
      <c r="T5"/>
      <c r="U5"/>
      <c r="V5"/>
      <c r="W5"/>
      <c r="X5"/>
      <c r="Y5"/>
      <c r="Z5"/>
      <c r="AA5"/>
      <c r="AB5"/>
    </row>
    <row r="6" spans="2:28" ht="25.2" customHeight="1" x14ac:dyDescent="0.3">
      <c r="B6" s="81" t="s">
        <v>5</v>
      </c>
      <c r="C6" s="82">
        <v>91</v>
      </c>
      <c r="D6" s="82">
        <v>113</v>
      </c>
      <c r="E6" s="82">
        <v>176.5</v>
      </c>
      <c r="F6" s="82">
        <v>118</v>
      </c>
      <c r="G6" s="82">
        <v>169</v>
      </c>
      <c r="H6" s="82">
        <v>105</v>
      </c>
      <c r="I6" s="82">
        <v>65</v>
      </c>
      <c r="J6" s="82">
        <v>58</v>
      </c>
      <c r="K6" s="82">
        <v>117.5</v>
      </c>
      <c r="L6" s="82"/>
      <c r="M6" s="82"/>
      <c r="N6" s="82"/>
      <c r="O6" s="82">
        <v>1013</v>
      </c>
      <c r="P6"/>
      <c r="Q6"/>
      <c r="R6"/>
      <c r="S6"/>
      <c r="T6"/>
      <c r="U6"/>
      <c r="V6"/>
      <c r="W6"/>
      <c r="X6"/>
      <c r="Y6"/>
      <c r="Z6"/>
      <c r="AA6"/>
      <c r="AB6"/>
    </row>
    <row r="7" spans="2:28" ht="25.2" customHeight="1" x14ac:dyDescent="0.3">
      <c r="B7" s="81" t="s">
        <v>46</v>
      </c>
      <c r="C7" s="82">
        <v>141.5</v>
      </c>
      <c r="D7" s="82">
        <v>157.5</v>
      </c>
      <c r="E7" s="82">
        <v>191</v>
      </c>
      <c r="F7" s="82">
        <v>153</v>
      </c>
      <c r="G7" s="82"/>
      <c r="H7" s="82"/>
      <c r="I7" s="82"/>
      <c r="J7" s="82">
        <v>75</v>
      </c>
      <c r="K7" s="82">
        <v>43</v>
      </c>
      <c r="L7" s="82"/>
      <c r="M7" s="82"/>
      <c r="N7" s="82"/>
      <c r="O7" s="82">
        <v>761</v>
      </c>
      <c r="P7"/>
      <c r="Q7"/>
      <c r="R7"/>
      <c r="S7"/>
      <c r="T7"/>
      <c r="U7"/>
      <c r="V7"/>
      <c r="W7"/>
      <c r="X7"/>
      <c r="Y7"/>
      <c r="Z7"/>
      <c r="AA7"/>
      <c r="AB7"/>
    </row>
    <row r="8" spans="2:28" ht="25.2" customHeight="1" x14ac:dyDescent="0.3">
      <c r="B8" s="81" t="s">
        <v>9</v>
      </c>
      <c r="C8" s="82">
        <v>37</v>
      </c>
      <c r="D8" s="82"/>
      <c r="E8" s="82"/>
      <c r="F8" s="82">
        <v>21.5</v>
      </c>
      <c r="G8" s="82"/>
      <c r="H8" s="82"/>
      <c r="I8" s="82"/>
      <c r="J8" s="82"/>
      <c r="K8" s="82"/>
      <c r="L8" s="82"/>
      <c r="M8" s="82"/>
      <c r="N8" s="82"/>
      <c r="O8" s="82">
        <v>58.5</v>
      </c>
      <c r="P8"/>
      <c r="Q8"/>
      <c r="R8"/>
      <c r="S8"/>
      <c r="T8"/>
      <c r="U8"/>
      <c r="V8"/>
      <c r="W8"/>
      <c r="X8"/>
      <c r="Y8"/>
      <c r="Z8"/>
      <c r="AA8"/>
      <c r="AB8"/>
    </row>
    <row r="9" spans="2:28" ht="25.2" customHeight="1" x14ac:dyDescent="0.3">
      <c r="B9" s="81" t="s">
        <v>13</v>
      </c>
      <c r="C9" s="82"/>
      <c r="D9" s="82"/>
      <c r="E9" s="82"/>
      <c r="F9" s="82"/>
      <c r="G9" s="82">
        <v>189</v>
      </c>
      <c r="H9" s="82">
        <v>158.5</v>
      </c>
      <c r="I9" s="82">
        <v>111.5</v>
      </c>
      <c r="J9" s="82">
        <v>175.5</v>
      </c>
      <c r="K9" s="82">
        <v>173.5</v>
      </c>
      <c r="L9" s="82"/>
      <c r="M9" s="82"/>
      <c r="N9" s="82"/>
      <c r="O9" s="82">
        <v>808</v>
      </c>
      <c r="P9"/>
      <c r="Q9"/>
      <c r="R9"/>
      <c r="S9"/>
      <c r="T9"/>
      <c r="U9"/>
      <c r="V9"/>
      <c r="W9"/>
      <c r="X9"/>
      <c r="Y9"/>
      <c r="Z9"/>
      <c r="AA9"/>
      <c r="AB9"/>
    </row>
    <row r="10" spans="2:28" ht="25.2" customHeight="1" x14ac:dyDescent="0.3">
      <c r="B10" s="81" t="s">
        <v>26</v>
      </c>
      <c r="C10" s="82"/>
      <c r="D10" s="82"/>
      <c r="E10" s="82"/>
      <c r="F10" s="82"/>
      <c r="G10" s="82"/>
      <c r="H10" s="82"/>
      <c r="I10" s="82">
        <v>37.5</v>
      </c>
      <c r="J10" s="82"/>
      <c r="K10" s="82"/>
      <c r="L10" s="82"/>
      <c r="M10" s="82"/>
      <c r="N10" s="82"/>
      <c r="O10" s="82">
        <v>37.5</v>
      </c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2:28" ht="25.2" customHeight="1" x14ac:dyDescent="0.3">
      <c r="B11" s="81" t="s">
        <v>32</v>
      </c>
      <c r="C11" s="82"/>
      <c r="D11" s="82"/>
      <c r="E11" s="82"/>
      <c r="F11" s="82">
        <v>60</v>
      </c>
      <c r="G11" s="82">
        <v>55</v>
      </c>
      <c r="H11" s="82"/>
      <c r="I11" s="82"/>
      <c r="J11" s="82"/>
      <c r="K11" s="82"/>
      <c r="L11" s="82"/>
      <c r="M11" s="82"/>
      <c r="N11" s="82"/>
      <c r="O11" s="82">
        <v>115</v>
      </c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2:28" ht="25.2" customHeight="1" x14ac:dyDescent="0.3">
      <c r="B12" s="81" t="s">
        <v>43</v>
      </c>
      <c r="C12" s="82">
        <v>100.5</v>
      </c>
      <c r="D12" s="82">
        <v>178</v>
      </c>
      <c r="E12" s="82">
        <v>196</v>
      </c>
      <c r="F12" s="82">
        <v>163</v>
      </c>
      <c r="G12" s="82">
        <v>225</v>
      </c>
      <c r="H12" s="82">
        <v>273</v>
      </c>
      <c r="I12" s="82">
        <v>206</v>
      </c>
      <c r="J12" s="82">
        <v>266</v>
      </c>
      <c r="K12" s="82">
        <v>245.5</v>
      </c>
      <c r="L12" s="82"/>
      <c r="M12" s="82"/>
      <c r="N12" s="82"/>
      <c r="O12" s="82">
        <v>1853</v>
      </c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2:28" ht="25.2" customHeight="1" x14ac:dyDescent="0.3">
      <c r="B13" s="81" t="s">
        <v>17</v>
      </c>
      <c r="C13" s="82">
        <v>284</v>
      </c>
      <c r="D13" s="82">
        <v>187.5</v>
      </c>
      <c r="E13" s="82">
        <v>196</v>
      </c>
      <c r="F13" s="82">
        <v>222.5</v>
      </c>
      <c r="G13" s="82">
        <v>232</v>
      </c>
      <c r="H13" s="82">
        <v>217.5</v>
      </c>
      <c r="I13" s="82">
        <v>129</v>
      </c>
      <c r="J13" s="82">
        <v>162.5</v>
      </c>
      <c r="K13" s="82">
        <v>149.5</v>
      </c>
      <c r="L13" s="82"/>
      <c r="M13" s="82"/>
      <c r="N13" s="82"/>
      <c r="O13" s="82">
        <v>1780.5</v>
      </c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2:28" ht="25.2" customHeight="1" x14ac:dyDescent="0.3">
      <c r="B14" s="81" t="s">
        <v>29</v>
      </c>
      <c r="C14" s="82">
        <v>176.5</v>
      </c>
      <c r="D14" s="82">
        <v>157</v>
      </c>
      <c r="E14" s="82">
        <v>199</v>
      </c>
      <c r="F14" s="82">
        <v>180.5</v>
      </c>
      <c r="G14" s="82">
        <v>219</v>
      </c>
      <c r="H14" s="82">
        <v>181</v>
      </c>
      <c r="I14" s="82">
        <v>112.5</v>
      </c>
      <c r="J14" s="82">
        <v>235</v>
      </c>
      <c r="K14" s="82">
        <v>183</v>
      </c>
      <c r="L14" s="82"/>
      <c r="M14" s="82"/>
      <c r="N14" s="82"/>
      <c r="O14" s="82">
        <v>1643.5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ht="25.2" customHeight="1" x14ac:dyDescent="0.3">
      <c r="B15" s="81" t="s">
        <v>40</v>
      </c>
      <c r="C15" s="82">
        <v>228</v>
      </c>
      <c r="D15" s="82">
        <v>98</v>
      </c>
      <c r="E15" s="82">
        <v>142.5</v>
      </c>
      <c r="F15" s="82">
        <v>123.5</v>
      </c>
      <c r="G15" s="82">
        <v>54.5</v>
      </c>
      <c r="H15" s="82">
        <v>104</v>
      </c>
      <c r="I15" s="82">
        <v>36</v>
      </c>
      <c r="J15" s="82">
        <v>22.5</v>
      </c>
      <c r="K15" s="82">
        <v>34</v>
      </c>
      <c r="L15" s="82"/>
      <c r="M15" s="82"/>
      <c r="N15" s="82"/>
      <c r="O15" s="82">
        <v>843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ht="25.2" customHeight="1" x14ac:dyDescent="0.3">
      <c r="B16" s="81" t="s">
        <v>35</v>
      </c>
      <c r="C16" s="82">
        <v>407.5</v>
      </c>
      <c r="D16" s="82">
        <v>289</v>
      </c>
      <c r="E16" s="82">
        <v>358.5</v>
      </c>
      <c r="F16" s="82">
        <v>367.5</v>
      </c>
      <c r="G16" s="82">
        <v>386.5</v>
      </c>
      <c r="H16" s="82">
        <v>333.5</v>
      </c>
      <c r="I16" s="82">
        <v>120.5</v>
      </c>
      <c r="J16" s="82">
        <v>177</v>
      </c>
      <c r="K16" s="82">
        <v>155.5</v>
      </c>
      <c r="L16" s="82"/>
      <c r="M16" s="82"/>
      <c r="N16" s="82"/>
      <c r="O16" s="82">
        <v>2595.5</v>
      </c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ht="25.2" customHeight="1" x14ac:dyDescent="0.3">
      <c r="B17" s="81" t="s">
        <v>25</v>
      </c>
      <c r="C17" s="82">
        <v>409.5</v>
      </c>
      <c r="D17" s="82">
        <v>320.5</v>
      </c>
      <c r="E17" s="82">
        <v>352</v>
      </c>
      <c r="F17" s="82">
        <v>655</v>
      </c>
      <c r="G17" s="82">
        <v>631.5</v>
      </c>
      <c r="H17" s="82">
        <v>537</v>
      </c>
      <c r="I17" s="82">
        <v>361.5</v>
      </c>
      <c r="J17" s="82">
        <v>127.5</v>
      </c>
      <c r="K17" s="82">
        <v>98.5</v>
      </c>
      <c r="L17" s="82"/>
      <c r="M17" s="82"/>
      <c r="N17" s="82"/>
      <c r="O17" s="82">
        <v>3493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ht="25.2" customHeight="1" x14ac:dyDescent="0.3">
      <c r="B18" s="81" t="s">
        <v>20</v>
      </c>
      <c r="C18" s="82">
        <v>257</v>
      </c>
      <c r="D18" s="82">
        <v>241.5</v>
      </c>
      <c r="E18" s="82">
        <v>298.5</v>
      </c>
      <c r="F18" s="82">
        <v>244.5</v>
      </c>
      <c r="G18" s="82">
        <v>334.5</v>
      </c>
      <c r="H18" s="82">
        <v>360.5</v>
      </c>
      <c r="I18" s="82">
        <v>209</v>
      </c>
      <c r="J18" s="82">
        <v>204.5</v>
      </c>
      <c r="K18" s="82">
        <v>142.5</v>
      </c>
      <c r="L18" s="82"/>
      <c r="M18" s="82"/>
      <c r="N18" s="82"/>
      <c r="O18" s="82">
        <v>2292.5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ht="17.399999999999999" customHeight="1" x14ac:dyDescent="0.3">
      <c r="B19" s="81" t="s">
        <v>23</v>
      </c>
      <c r="C19" s="82">
        <v>80.5</v>
      </c>
      <c r="D19" s="82">
        <v>46.5</v>
      </c>
      <c r="E19" s="82">
        <v>64</v>
      </c>
      <c r="F19" s="82">
        <v>58</v>
      </c>
      <c r="G19" s="82">
        <v>55</v>
      </c>
      <c r="H19" s="82">
        <v>48</v>
      </c>
      <c r="I19" s="82">
        <v>47.5</v>
      </c>
      <c r="J19" s="82"/>
      <c r="K19" s="82"/>
      <c r="L19" s="82"/>
      <c r="M19" s="82"/>
      <c r="N19" s="82"/>
      <c r="O19" s="82">
        <v>399.5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s="97" customFormat="1" ht="19.2" customHeight="1" x14ac:dyDescent="0.3">
      <c r="B20" s="81" t="s">
        <v>19</v>
      </c>
      <c r="C20" s="82">
        <v>134</v>
      </c>
      <c r="D20" s="82">
        <v>133</v>
      </c>
      <c r="E20" s="82">
        <v>92</v>
      </c>
      <c r="F20" s="82">
        <v>107.5</v>
      </c>
      <c r="G20" s="82">
        <v>225</v>
      </c>
      <c r="H20" s="82">
        <v>237</v>
      </c>
      <c r="I20" s="82">
        <v>48</v>
      </c>
      <c r="J20" s="82">
        <v>109.5</v>
      </c>
      <c r="K20" s="82">
        <v>55.5</v>
      </c>
      <c r="L20" s="82"/>
      <c r="M20" s="82"/>
      <c r="N20" s="82"/>
      <c r="O20" s="82">
        <v>1141.5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ht="19.2" customHeight="1" x14ac:dyDescent="0.3">
      <c r="B21" s="81" t="s">
        <v>1015</v>
      </c>
      <c r="C21" s="82"/>
      <c r="D21" s="82"/>
      <c r="E21" s="82"/>
      <c r="F21" s="82"/>
      <c r="G21" s="82"/>
      <c r="H21" s="82">
        <v>0</v>
      </c>
      <c r="I21" s="82">
        <v>15</v>
      </c>
      <c r="J21" s="82"/>
      <c r="K21" s="82">
        <v>45</v>
      </c>
      <c r="L21" s="82"/>
      <c r="M21" s="82"/>
      <c r="N21" s="82"/>
      <c r="O21" s="82">
        <v>60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ht="17.399999999999999" customHeight="1" x14ac:dyDescent="0.3">
      <c r="B22" s="81" t="s">
        <v>1016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100"/>
      <c r="Q22"/>
      <c r="R22"/>
      <c r="S22"/>
      <c r="T22"/>
      <c r="U22"/>
      <c r="V22"/>
      <c r="W22"/>
      <c r="X22"/>
      <c r="Y22"/>
      <c r="Z22"/>
      <c r="AA22"/>
      <c r="AB22"/>
    </row>
    <row r="23" spans="2:28" ht="21.6" customHeight="1" x14ac:dyDescent="0.3">
      <c r="B23" s="81" t="s">
        <v>1017</v>
      </c>
      <c r="C23" s="82"/>
      <c r="D23" s="82"/>
      <c r="E23" s="82"/>
      <c r="F23" s="82"/>
      <c r="G23" s="82"/>
      <c r="H23" s="82">
        <v>82</v>
      </c>
      <c r="I23" s="82">
        <v>44.5</v>
      </c>
      <c r="J23" s="82"/>
      <c r="K23" s="82"/>
      <c r="L23" s="82"/>
      <c r="M23" s="82"/>
      <c r="N23" s="82"/>
      <c r="O23" s="82">
        <v>126.5</v>
      </c>
      <c r="P23" s="101"/>
    </row>
    <row r="24" spans="2:28" ht="20.399999999999999" customHeight="1" x14ac:dyDescent="0.3">
      <c r="B24" s="81" t="s">
        <v>1014</v>
      </c>
      <c r="C24" s="82"/>
      <c r="D24" s="82"/>
      <c r="E24" s="82"/>
      <c r="F24" s="82"/>
      <c r="G24" s="82"/>
      <c r="H24" s="82">
        <v>339</v>
      </c>
      <c r="I24" s="82">
        <v>223.5</v>
      </c>
      <c r="J24" s="82">
        <v>410.5</v>
      </c>
      <c r="K24" s="82">
        <v>335</v>
      </c>
      <c r="L24" s="82"/>
      <c r="M24" s="82"/>
      <c r="N24" s="82"/>
      <c r="O24" s="82">
        <v>1308</v>
      </c>
      <c r="P24" s="101"/>
    </row>
    <row r="25" spans="2:28" ht="18" customHeight="1" x14ac:dyDescent="0.3">
      <c r="B25" s="81" t="s">
        <v>1070</v>
      </c>
      <c r="C25" s="82"/>
      <c r="D25" s="82"/>
      <c r="E25" s="82"/>
      <c r="F25" s="82"/>
      <c r="G25" s="82"/>
      <c r="H25" s="82"/>
      <c r="I25" s="82"/>
      <c r="J25" s="82">
        <v>37.5</v>
      </c>
      <c r="K25" s="82"/>
      <c r="L25" s="82"/>
      <c r="M25" s="82"/>
      <c r="N25" s="82"/>
      <c r="O25" s="82">
        <v>37.5</v>
      </c>
      <c r="P25" s="101"/>
    </row>
    <row r="26" spans="2:28" ht="13.95" customHeight="1" x14ac:dyDescent="0.3">
      <c r="B26" s="98" t="s">
        <v>128</v>
      </c>
      <c r="C26" s="99">
        <v>2347</v>
      </c>
      <c r="D26" s="99">
        <v>1921.5</v>
      </c>
      <c r="E26" s="99">
        <v>2266</v>
      </c>
      <c r="F26" s="99">
        <v>2474.5</v>
      </c>
      <c r="G26" s="99">
        <v>2776</v>
      </c>
      <c r="H26" s="99">
        <v>2976</v>
      </c>
      <c r="I26" s="99">
        <v>1767</v>
      </c>
      <c r="J26" s="99">
        <v>2061</v>
      </c>
      <c r="K26" s="99">
        <v>1778</v>
      </c>
      <c r="L26" s="99"/>
      <c r="M26" s="99"/>
      <c r="N26" s="99"/>
      <c r="O26" s="99">
        <v>20367</v>
      </c>
      <c r="P26" s="101"/>
    </row>
    <row r="27" spans="2:28" ht="13.95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2:28" ht="13.95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28" ht="13.95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28" ht="13.95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28" ht="13.95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2:28" ht="13.95" customHeight="1" x14ac:dyDescent="0.3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5" ht="13.95" customHeight="1" x14ac:dyDescent="0.3"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2:15" ht="13.95" customHeight="1" x14ac:dyDescent="0.3"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2:15" ht="13.95" customHeight="1" x14ac:dyDescent="0.3"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2:15" ht="13.95" customHeight="1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2:15" ht="13.95" customHeight="1" x14ac:dyDescent="0.3"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2:15" ht="13.95" customHeight="1" x14ac:dyDescent="0.3"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2:15" ht="13.95" customHeight="1" x14ac:dyDescent="0.3"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2:15" ht="13.95" customHeight="1" x14ac:dyDescent="0.3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2:15" ht="13.95" customHeight="1" x14ac:dyDescent="0.3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2:15" ht="13.95" customHeight="1" x14ac:dyDescent="0.3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2:15" ht="13.95" customHeight="1" x14ac:dyDescent="0.3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2:15" ht="13.95" customHeight="1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2:15" ht="13.95" customHeight="1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2:15" ht="13.95" customHeight="1" x14ac:dyDescent="0.3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2:15" ht="13.95" customHeight="1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2:15" ht="13.95" customHeight="1" x14ac:dyDescent="0.3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2:15" ht="13.95" customHeight="1" x14ac:dyDescent="0.3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2:15" ht="13.95" customHeight="1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15" ht="13.95" customHeight="1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15" ht="13.95" customHeight="1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2:15" ht="13.95" customHeight="1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2:15" ht="13.95" customHeight="1" x14ac:dyDescent="0.3"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2:15" ht="13.95" customHeight="1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2:15" ht="13.95" customHeight="1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ht="13.95" customHeight="1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2:15" ht="13.95" customHeight="1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2:15" ht="13.95" customHeight="1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2:15" ht="13.95" customHeight="1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2:15" ht="13.95" customHeight="1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2:15" ht="13.95" customHeight="1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2:15" ht="13.95" customHeight="1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2:15" ht="13.95" customHeight="1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2:15" ht="13.95" customHeight="1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2:15" ht="13.95" customHeight="1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2:15" ht="13.95" customHeight="1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2:15" ht="13.95" customHeight="1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2:15" ht="13.95" customHeight="1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2:15" ht="13.95" customHeight="1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2:15" ht="13.95" customHeight="1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2:15" ht="13.95" customHeight="1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2:15" ht="13.95" customHeight="1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2:15" ht="13.95" customHeight="1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2:15" ht="13.95" customHeight="1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2:15" ht="13.95" customHeight="1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2:15" ht="13.95" customHeight="1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2:15" ht="13.95" customHeight="1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2:15" ht="13.95" customHeight="1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2:15" ht="13.95" customHeight="1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2:15" ht="13.95" customHeight="1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2:15" ht="13.95" customHeight="1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2:15" ht="13.95" customHeight="1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2:15" ht="13.95" customHeight="1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2:15" ht="13.95" customHeight="1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2:15" ht="13.95" customHeight="1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2:15" ht="13.95" customHeight="1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2:15" ht="13.95" customHeight="1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2:15" ht="13.95" customHeight="1" x14ac:dyDescent="0.3"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2:15" ht="13.95" customHeight="1" x14ac:dyDescent="0.3"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2:15" ht="13.95" customHeight="1" x14ac:dyDescent="0.3"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2:15" ht="13.95" customHeight="1" x14ac:dyDescent="0.3"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2:15" ht="13.95" customHeight="1" x14ac:dyDescent="0.3"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2:15" ht="13.95" customHeight="1" x14ac:dyDescent="0.3"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2:15" ht="13.95" customHeight="1" x14ac:dyDescent="0.3"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2:15" ht="13.95" customHeight="1" x14ac:dyDescent="0.3"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2:15" ht="13.95" customHeight="1" x14ac:dyDescent="0.3"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2:15" ht="13.95" customHeight="1" x14ac:dyDescent="0.3"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2:15" ht="13.95" customHeight="1" x14ac:dyDescent="0.3"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2:15" ht="13.95" customHeight="1" x14ac:dyDescent="0.3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2:15" ht="13.95" customHeight="1" x14ac:dyDescent="0.3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2:15" ht="13.95" customHeight="1" x14ac:dyDescent="0.3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2:15" ht="13.95" customHeight="1" x14ac:dyDescent="0.3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2:15" ht="13.95" customHeight="1" x14ac:dyDescent="0.3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2:15" ht="13.95" customHeight="1" x14ac:dyDescent="0.3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2:15" ht="13.95" customHeight="1" x14ac:dyDescent="0.3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2:15" ht="13.95" customHeight="1" x14ac:dyDescent="0.3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2:15" ht="13.95" customHeight="1" x14ac:dyDescent="0.3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2:15" ht="13.95" customHeight="1" x14ac:dyDescent="0.3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2:15" ht="13.95" customHeight="1" x14ac:dyDescent="0.3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2:15" ht="13.95" customHeight="1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2:15" ht="13.95" customHeight="1" x14ac:dyDescent="0.3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2:15" ht="13.95" customHeight="1" x14ac:dyDescent="0.3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2:15" ht="13.95" customHeight="1" x14ac:dyDescent="0.3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2:15" ht="13.95" customHeight="1" x14ac:dyDescent="0.3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2:15" ht="13.95" customHeight="1" x14ac:dyDescent="0.3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2:15" ht="13.95" customHeight="1" x14ac:dyDescent="0.3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2:15" ht="13.95" customHeight="1" x14ac:dyDescent="0.3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2:15" ht="13.95" customHeight="1" x14ac:dyDescent="0.3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2:15" ht="13.95" customHeight="1" x14ac:dyDescent="0.3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2:15" ht="13.95" customHeight="1" x14ac:dyDescent="0.3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2:15" ht="13.95" customHeight="1" x14ac:dyDescent="0.3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2:15" ht="13.95" customHeight="1" x14ac:dyDescent="0.3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2:15" ht="13.95" customHeight="1" x14ac:dyDescent="0.3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2:15" ht="13.95" customHeight="1" x14ac:dyDescent="0.3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2:15" ht="13.95" customHeight="1" x14ac:dyDescent="0.3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2:15" ht="13.95" customHeight="1" x14ac:dyDescent="0.3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2:15" ht="13.95" customHeight="1" x14ac:dyDescent="0.3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2:15" ht="13.95" customHeight="1" x14ac:dyDescent="0.3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2:15" ht="13.95" customHeight="1" x14ac:dyDescent="0.3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2:15" ht="13.95" customHeight="1" x14ac:dyDescent="0.3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2:15" ht="13.95" customHeight="1" x14ac:dyDescent="0.3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2:15" ht="13.95" customHeight="1" x14ac:dyDescent="0.3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2:15" ht="13.95" customHeight="1" x14ac:dyDescent="0.3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2:15" ht="13.95" customHeight="1" x14ac:dyDescent="0.3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2:15" ht="13.95" customHeight="1" x14ac:dyDescent="0.3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2:15" ht="13.95" customHeight="1" x14ac:dyDescent="0.3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2:15" ht="13.95" customHeight="1" x14ac:dyDescent="0.3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2:15" ht="13.95" customHeight="1" x14ac:dyDescent="0.3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2:15" ht="13.95" customHeight="1" x14ac:dyDescent="0.3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2:15" ht="13.95" customHeight="1" x14ac:dyDescent="0.3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2:15" ht="13.95" customHeight="1" x14ac:dyDescent="0.3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2:15" ht="13.95" customHeight="1" x14ac:dyDescent="0.3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2:15" ht="13.95" customHeight="1" x14ac:dyDescent="0.3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2:15" ht="13.95" customHeight="1" x14ac:dyDescent="0.3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</sheetData>
  <pageMargins left="0.70866141732283472" right="0.70866141732283472" top="0.74803149606299213" bottom="0.74803149606299213" header="0.31496062992125984" footer="0.31496062992125984"/>
  <pageSetup paperSize="9" orientation="landscape" r:id="rId2"/>
  <headerFooter differentFirst="1">
    <oddFooter>&amp;LG05002   R02&amp;R&amp;P / &amp;N&amp;C&amp;"verdana,Regular"&amp;8Kurum İçi | Internal \  Kişisel Veri İçermez | Contains No Personal Data</oddFooter>
    <firstFooter>&amp;LG05002   R02&amp;CHizmete Özel&amp;R&amp;P / &amp;N</first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manualMax="100" manualMin="0" type="column" displayEmptyCellsAs="gap" minAxisType="group" maxAxisType="custom" xr2:uid="{00000000-0003-0000-0C00-000038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Endirek'!C6:N6</xm:f>
              <xm:sqref>P6</xm:sqref>
            </x14:sparkline>
          </x14:sparklines>
        </x14:sparklineGroup>
        <x14:sparklineGroup manualMax="100" manualMin="0" type="column" displayEmptyCellsAs="gap" minAxisType="group" maxAxisType="custom" xr2:uid="{00000000-0003-0000-0C00-000039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Endirek'!C7:N7</xm:f>
              <xm:sqref>P7</xm:sqref>
            </x14:sparkline>
          </x14:sparklines>
        </x14:sparklineGroup>
        <x14:sparklineGroup manualMax="100" manualMin="0" type="column" displayEmptyCellsAs="gap" minAxisType="group" maxAxisType="custom" xr2:uid="{00000000-0003-0000-0C00-00003A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Endirek'!C18:N18</xm:f>
              <xm:sqref>P18</xm:sqref>
            </x14:sparkline>
          </x14:sparklines>
        </x14:sparklineGroup>
        <x14:sparklineGroup manualMax="100" manualMin="0" type="column" displayEmptyCellsAs="gap" maxAxisType="custom" xr2:uid="{00000000-0003-0000-0C00-00003B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Endirek'!C5:N5</xm:f>
              <xm:sqref>P5</xm:sqref>
            </x14:sparkline>
          </x14:sparklines>
        </x14:sparklineGroup>
        <x14:sparklineGroup manualMax="100" manualMin="0" type="column" displayEmptyCellsAs="gap" minAxisType="group" maxAxisType="custom" xr2:uid="{00000000-0003-0000-0C00-00003C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Endirek'!C8:N8</xm:f>
              <xm:sqref>P8</xm:sqref>
            </x14:sparkline>
          </x14:sparklines>
        </x14:sparklineGroup>
        <x14:sparklineGroup manualMax="100" manualMin="0" type="column" displayEmptyCellsAs="gap" minAxisType="group" maxAxisType="custom" xr2:uid="{00000000-0003-0000-0C00-00003D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Endirek'!C9:N9</xm:f>
              <xm:sqref>P9</xm:sqref>
            </x14:sparkline>
          </x14:sparklines>
        </x14:sparklineGroup>
        <x14:sparklineGroup manualMax="100" manualMin="0" type="column" displayEmptyCellsAs="gap" minAxisType="group" maxAxisType="custom" xr2:uid="{00000000-0003-0000-0C00-00003E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Endirek'!C10:N10</xm:f>
              <xm:sqref>P10</xm:sqref>
            </x14:sparkline>
          </x14:sparklines>
        </x14:sparklineGroup>
        <x14:sparklineGroup manualMax="100" manualMin="0" type="column" displayEmptyCellsAs="gap" minAxisType="group" maxAxisType="custom" xr2:uid="{00000000-0003-0000-0C00-00003F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Endirek'!C11:N11</xm:f>
              <xm:sqref>P11</xm:sqref>
            </x14:sparkline>
          </x14:sparklines>
        </x14:sparklineGroup>
        <x14:sparklineGroup manualMax="100" manualMin="0" type="column" displayEmptyCellsAs="gap" minAxisType="group" maxAxisType="custom" xr2:uid="{00000000-0003-0000-0C00-00004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Endirek'!C12:N12</xm:f>
              <xm:sqref>P12</xm:sqref>
            </x14:sparkline>
          </x14:sparklines>
        </x14:sparklineGroup>
        <x14:sparklineGroup manualMax="100" manualMin="0" type="column" displayEmptyCellsAs="gap" minAxisType="group" maxAxisType="custom" xr2:uid="{00000000-0003-0000-0C00-000041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Endirek'!C13:N13</xm:f>
              <xm:sqref>P13</xm:sqref>
            </x14:sparkline>
          </x14:sparklines>
        </x14:sparklineGroup>
        <x14:sparklineGroup manualMax="100" manualMin="0" type="column" displayEmptyCellsAs="gap" minAxisType="group" maxAxisType="custom" xr2:uid="{00000000-0003-0000-0C00-000042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Endirek'!C14:N14</xm:f>
              <xm:sqref>P14</xm:sqref>
            </x14:sparkline>
          </x14:sparklines>
        </x14:sparklineGroup>
        <x14:sparklineGroup manualMax="100" manualMin="0" type="column" displayEmptyCellsAs="gap" minAxisType="group" maxAxisType="custom" xr2:uid="{00000000-0003-0000-0C00-000043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Endirek'!C15:N15</xm:f>
              <xm:sqref>P15</xm:sqref>
            </x14:sparkline>
          </x14:sparklines>
        </x14:sparklineGroup>
        <x14:sparklineGroup manualMax="100" manualMin="0" type="column" displayEmptyCellsAs="gap" minAxisType="group" maxAxisType="custom" xr2:uid="{00000000-0003-0000-0C00-000044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Endirek'!C16:N16</xm:f>
              <xm:sqref>P16</xm:sqref>
            </x14:sparkline>
          </x14:sparklines>
        </x14:sparklineGroup>
        <x14:sparklineGroup manualMax="100" manualMin="0" type="column" displayEmptyCellsAs="gap" minAxisType="group" maxAxisType="custom" xr2:uid="{00000000-0003-0000-0C00-000045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Endirek'!C17:N17</xm:f>
              <xm:sqref>P17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ayfa14">
    <tabColor rgb="FFFFFF00"/>
  </sheetPr>
  <dimension ref="A3:M21"/>
  <sheetViews>
    <sheetView showGridLines="0" workbookViewId="0">
      <selection activeCell="H9" sqref="H9"/>
    </sheetView>
  </sheetViews>
  <sheetFormatPr defaultRowHeight="14.4" x14ac:dyDescent="0.3"/>
  <cols>
    <col min="1" max="1" width="15.6640625" bestFit="1" customWidth="1"/>
    <col min="2" max="2" width="12" bestFit="1" customWidth="1"/>
    <col min="3" max="3" width="12.6640625" bestFit="1" customWidth="1"/>
    <col min="4" max="4" width="11.88671875" bestFit="1" customWidth="1"/>
    <col min="5" max="5" width="12.44140625" bestFit="1" customWidth="1"/>
    <col min="6" max="6" width="12.77734375" bestFit="1" customWidth="1"/>
    <col min="7" max="7" width="14.109375" bestFit="1" customWidth="1"/>
    <col min="8" max="8" width="15.109375" bestFit="1" customWidth="1"/>
    <col min="9" max="9" width="14.5546875" bestFit="1" customWidth="1"/>
    <col min="10" max="10" width="11.77734375" bestFit="1" customWidth="1"/>
    <col min="11" max="11" width="11.88671875" bestFit="1" customWidth="1"/>
    <col min="12" max="12" width="12.77734375" bestFit="1" customWidth="1"/>
    <col min="13" max="13" width="12.5546875" bestFit="1" customWidth="1"/>
    <col min="14" max="47" width="4" customWidth="1"/>
    <col min="48" max="98" width="5" customWidth="1"/>
    <col min="99" max="104" width="6" customWidth="1"/>
    <col min="105" max="105" width="5.33203125" customWidth="1"/>
    <col min="106" max="106" width="12.5546875" bestFit="1" customWidth="1"/>
  </cols>
  <sheetData>
    <row r="3" spans="1:13" x14ac:dyDescent="0.3">
      <c r="A3" s="18" t="s">
        <v>123</v>
      </c>
      <c r="B3" s="151" t="s">
        <v>150</v>
      </c>
      <c r="C3" s="151" t="s">
        <v>151</v>
      </c>
      <c r="D3" s="151" t="s">
        <v>475</v>
      </c>
      <c r="E3" s="151" t="s">
        <v>476</v>
      </c>
      <c r="F3" s="151" t="s">
        <v>477</v>
      </c>
      <c r="G3" s="151" t="s">
        <v>478</v>
      </c>
      <c r="H3" s="151" t="s">
        <v>510</v>
      </c>
      <c r="I3" s="151" t="s">
        <v>511</v>
      </c>
      <c r="J3" s="151" t="s">
        <v>512</v>
      </c>
      <c r="K3" s="151" t="s">
        <v>513</v>
      </c>
      <c r="L3" s="151" t="s">
        <v>514</v>
      </c>
      <c r="M3" s="151" t="s">
        <v>515</v>
      </c>
    </row>
    <row r="4" spans="1:13" x14ac:dyDescent="0.3">
      <c r="A4" s="20" t="s">
        <v>5</v>
      </c>
      <c r="B4" s="66">
        <v>77400</v>
      </c>
      <c r="C4" s="66"/>
      <c r="D4" s="66"/>
      <c r="E4" s="66">
        <v>4637</v>
      </c>
      <c r="F4" s="66"/>
      <c r="G4" s="66">
        <v>5961</v>
      </c>
      <c r="H4" s="66">
        <v>985</v>
      </c>
      <c r="I4" s="66">
        <v>5771</v>
      </c>
      <c r="J4" s="66">
        <v>8030</v>
      </c>
      <c r="K4" s="66"/>
      <c r="L4" s="66"/>
      <c r="M4" s="66"/>
    </row>
    <row r="5" spans="1:13" x14ac:dyDescent="0.3">
      <c r="A5" s="20" t="s">
        <v>46</v>
      </c>
      <c r="B5" s="66">
        <v>17315</v>
      </c>
      <c r="C5" s="66">
        <v>3740</v>
      </c>
      <c r="D5" s="66">
        <v>16585</v>
      </c>
      <c r="E5" s="66">
        <v>13350</v>
      </c>
      <c r="F5" s="66">
        <v>3800</v>
      </c>
      <c r="G5" s="66"/>
      <c r="H5" s="66">
        <v>20380</v>
      </c>
      <c r="I5" s="66">
        <v>11540</v>
      </c>
      <c r="J5" s="66">
        <v>4350</v>
      </c>
      <c r="K5" s="66"/>
      <c r="L5" s="66"/>
      <c r="M5" s="66"/>
    </row>
    <row r="6" spans="1:13" x14ac:dyDescent="0.3">
      <c r="A6" s="20" t="s">
        <v>13</v>
      </c>
      <c r="B6" s="66">
        <v>10198</v>
      </c>
      <c r="C6" s="66">
        <v>2980</v>
      </c>
      <c r="D6" s="66">
        <v>13580</v>
      </c>
      <c r="E6" s="66"/>
      <c r="F6" s="66"/>
      <c r="G6" s="66"/>
      <c r="H6" s="66">
        <v>21360</v>
      </c>
      <c r="I6" s="66">
        <v>15430</v>
      </c>
      <c r="J6" s="66">
        <v>240</v>
      </c>
      <c r="K6" s="66"/>
      <c r="L6" s="66"/>
      <c r="M6" s="66"/>
    </row>
    <row r="7" spans="1:13" x14ac:dyDescent="0.3">
      <c r="A7" s="20" t="s">
        <v>9</v>
      </c>
      <c r="B7" s="66">
        <v>3535</v>
      </c>
      <c r="C7" s="66">
        <v>2780</v>
      </c>
      <c r="D7" s="66">
        <v>14395</v>
      </c>
      <c r="E7" s="66">
        <v>34810</v>
      </c>
      <c r="F7" s="66">
        <v>19455</v>
      </c>
      <c r="G7" s="66"/>
      <c r="H7" s="66">
        <v>13360</v>
      </c>
      <c r="I7" s="66">
        <v>23848</v>
      </c>
      <c r="J7" s="66"/>
      <c r="K7" s="66"/>
      <c r="L7" s="66"/>
      <c r="M7" s="66"/>
    </row>
    <row r="8" spans="1:13" x14ac:dyDescent="0.3">
      <c r="A8" s="20" t="s">
        <v>32</v>
      </c>
      <c r="B8" s="66"/>
      <c r="C8" s="66"/>
      <c r="D8" s="66">
        <v>480</v>
      </c>
      <c r="E8" s="66"/>
      <c r="F8" s="66"/>
      <c r="G8" s="66"/>
      <c r="H8" s="66"/>
      <c r="I8" s="66"/>
      <c r="J8" s="66"/>
      <c r="K8" s="66"/>
      <c r="L8" s="66"/>
      <c r="M8" s="66"/>
    </row>
    <row r="9" spans="1:13" x14ac:dyDescent="0.3">
      <c r="A9" s="20" t="s">
        <v>26</v>
      </c>
      <c r="B9" s="66">
        <v>9398</v>
      </c>
      <c r="C9" s="66">
        <v>11435</v>
      </c>
      <c r="D9" s="66">
        <v>13773</v>
      </c>
      <c r="E9" s="66">
        <v>15325</v>
      </c>
      <c r="F9" s="66">
        <v>25962</v>
      </c>
      <c r="G9" s="66">
        <v>17280</v>
      </c>
      <c r="H9" s="66">
        <v>22853</v>
      </c>
      <c r="I9" s="66">
        <v>11678</v>
      </c>
      <c r="J9" s="66">
        <v>9935</v>
      </c>
      <c r="K9" s="66"/>
      <c r="L9" s="66"/>
      <c r="M9" s="66"/>
    </row>
    <row r="10" spans="1:13" x14ac:dyDescent="0.3">
      <c r="A10" s="20" t="s">
        <v>17</v>
      </c>
      <c r="B10" s="66">
        <v>15520</v>
      </c>
      <c r="C10" s="66">
        <v>12910</v>
      </c>
      <c r="D10" s="66">
        <v>10690</v>
      </c>
      <c r="E10" s="66">
        <v>6755</v>
      </c>
      <c r="F10" s="66">
        <v>1350</v>
      </c>
      <c r="G10" s="66">
        <v>4880</v>
      </c>
      <c r="H10" s="66"/>
      <c r="I10" s="66"/>
      <c r="J10" s="66">
        <v>7010</v>
      </c>
      <c r="K10" s="66"/>
      <c r="L10" s="66"/>
      <c r="M10" s="66"/>
    </row>
    <row r="11" spans="1:13" x14ac:dyDescent="0.3">
      <c r="A11" s="20" t="s">
        <v>29</v>
      </c>
      <c r="B11" s="66"/>
      <c r="C11" s="66"/>
      <c r="D11" s="66"/>
      <c r="E11" s="66">
        <v>4335</v>
      </c>
      <c r="F11" s="66">
        <v>705</v>
      </c>
      <c r="G11" s="66">
        <v>5150</v>
      </c>
      <c r="H11" s="66"/>
      <c r="I11" s="66"/>
      <c r="J11" s="66">
        <v>9355</v>
      </c>
      <c r="K11" s="66"/>
      <c r="L11" s="66"/>
      <c r="M11" s="66"/>
    </row>
    <row r="12" spans="1:13" x14ac:dyDescent="0.3">
      <c r="A12" s="20" t="s">
        <v>43</v>
      </c>
      <c r="B12" s="66">
        <v>12160</v>
      </c>
      <c r="C12" s="66">
        <v>39320</v>
      </c>
      <c r="D12" s="66">
        <v>48225</v>
      </c>
      <c r="E12" s="66">
        <v>47020</v>
      </c>
      <c r="F12" s="66">
        <v>24170</v>
      </c>
      <c r="G12" s="66"/>
      <c r="H12" s="66"/>
      <c r="I12" s="66"/>
      <c r="J12" s="66">
        <v>4060</v>
      </c>
      <c r="K12" s="66"/>
      <c r="L12" s="66"/>
      <c r="M12" s="66"/>
    </row>
    <row r="13" spans="1:13" x14ac:dyDescent="0.3">
      <c r="A13" s="20" t="s">
        <v>40</v>
      </c>
      <c r="B13" s="66">
        <v>9260</v>
      </c>
      <c r="C13" s="66">
        <v>14570</v>
      </c>
      <c r="D13" s="66">
        <v>735</v>
      </c>
      <c r="E13" s="66">
        <v>14525</v>
      </c>
      <c r="F13" s="66">
        <v>15800</v>
      </c>
      <c r="G13" s="66">
        <v>22330</v>
      </c>
      <c r="H13" s="66">
        <v>10010</v>
      </c>
      <c r="I13" s="66"/>
      <c r="J13" s="66">
        <v>11470</v>
      </c>
      <c r="K13" s="66"/>
      <c r="L13" s="66"/>
      <c r="M13" s="66"/>
    </row>
    <row r="14" spans="1:13" x14ac:dyDescent="0.3">
      <c r="A14" s="20" t="s">
        <v>35</v>
      </c>
      <c r="B14" s="66">
        <v>25920</v>
      </c>
      <c r="C14" s="66">
        <v>15120</v>
      </c>
      <c r="D14" s="66">
        <v>6000</v>
      </c>
      <c r="E14" s="66"/>
      <c r="F14" s="66">
        <v>10080</v>
      </c>
      <c r="G14" s="66">
        <v>5850</v>
      </c>
      <c r="H14" s="66">
        <v>7120</v>
      </c>
      <c r="I14" s="66">
        <v>2920</v>
      </c>
      <c r="J14" s="66">
        <v>40895</v>
      </c>
      <c r="K14" s="66"/>
      <c r="L14" s="66"/>
      <c r="M14" s="66"/>
    </row>
    <row r="15" spans="1:13" x14ac:dyDescent="0.3">
      <c r="A15" s="20" t="s">
        <v>25</v>
      </c>
      <c r="B15" s="66"/>
      <c r="C15" s="66"/>
      <c r="D15" s="66"/>
      <c r="E15" s="66"/>
      <c r="F15" s="66"/>
      <c r="G15" s="66"/>
      <c r="H15" s="66"/>
      <c r="I15" s="66">
        <v>16290</v>
      </c>
      <c r="J15" s="66">
        <v>9587</v>
      </c>
      <c r="K15" s="66"/>
      <c r="L15" s="66"/>
      <c r="M15" s="66"/>
    </row>
    <row r="16" spans="1:13" x14ac:dyDescent="0.3">
      <c r="A16" s="20" t="s">
        <v>23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</row>
    <row r="17" spans="1:13" x14ac:dyDescent="0.3">
      <c r="A17" s="20" t="s">
        <v>20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3">
      <c r="A18" s="20" t="s">
        <v>19</v>
      </c>
      <c r="B18" s="66">
        <v>15980</v>
      </c>
      <c r="C18" s="66">
        <v>15927</v>
      </c>
      <c r="D18" s="66">
        <v>18105</v>
      </c>
      <c r="E18" s="66">
        <v>20905</v>
      </c>
      <c r="F18" s="66">
        <v>17550</v>
      </c>
      <c r="G18" s="66">
        <v>23782</v>
      </c>
      <c r="H18" s="66">
        <v>18835</v>
      </c>
      <c r="I18" s="66">
        <v>30382</v>
      </c>
      <c r="J18" s="66">
        <v>26543</v>
      </c>
      <c r="K18" s="66"/>
      <c r="L18" s="66"/>
      <c r="M18" s="66"/>
    </row>
    <row r="19" spans="1:13" x14ac:dyDescent="0.3">
      <c r="A19" s="20" t="s">
        <v>1014</v>
      </c>
      <c r="B19" s="66"/>
      <c r="C19" s="66"/>
      <c r="D19" s="66"/>
      <c r="E19" s="66"/>
      <c r="F19" s="66"/>
      <c r="G19" s="66"/>
      <c r="H19" s="66">
        <v>18511</v>
      </c>
      <c r="I19" s="66">
        <v>24461</v>
      </c>
      <c r="J19" s="66">
        <v>28151</v>
      </c>
      <c r="K19" s="66"/>
      <c r="L19" s="66"/>
      <c r="M19" s="66"/>
    </row>
    <row r="20" spans="1:13" x14ac:dyDescent="0.3">
      <c r="A20" s="20" t="s">
        <v>973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</row>
    <row r="21" spans="1:13" x14ac:dyDescent="0.3">
      <c r="A21" s="20" t="s">
        <v>128</v>
      </c>
      <c r="B21" s="66">
        <v>196686</v>
      </c>
      <c r="C21" s="66">
        <v>118782</v>
      </c>
      <c r="D21" s="66">
        <v>142568</v>
      </c>
      <c r="E21" s="66">
        <v>161662</v>
      </c>
      <c r="F21" s="66">
        <v>118872</v>
      </c>
      <c r="G21" s="66">
        <v>85233</v>
      </c>
      <c r="H21" s="66">
        <v>133414</v>
      </c>
      <c r="I21" s="66">
        <v>142320</v>
      </c>
      <c r="J21" s="66">
        <v>159626</v>
      </c>
      <c r="K21" s="66"/>
      <c r="L21" s="66"/>
      <c r="M21" s="66"/>
    </row>
  </sheetData>
  <conditionalFormatting pivot="1" sqref="B4:M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2"/>
  <headerFooter differentFirst="1">
    <oddFooter>&amp;C&amp;"verdana,Regular"&amp;8Kurum İçi | Internal \  Kişisel Veri İçermez | Contains No Personal Data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ayfa15">
    <tabColor rgb="FFFFFF00"/>
  </sheetPr>
  <dimension ref="B1:O144"/>
  <sheetViews>
    <sheetView showGridLines="0" zoomScale="130" zoomScaleNormal="130" workbookViewId="0">
      <selection activeCell="F17" sqref="F17"/>
    </sheetView>
  </sheetViews>
  <sheetFormatPr defaultColWidth="8.88671875" defaultRowHeight="13.95" customHeight="1" x14ac:dyDescent="0.3"/>
  <cols>
    <col min="1" max="1" width="1.5546875" style="80" customWidth="1"/>
    <col min="2" max="2" width="29.6640625" style="80" bestFit="1" customWidth="1"/>
    <col min="3" max="3" width="11.109375" style="111" bestFit="1" customWidth="1"/>
    <col min="4" max="4" width="5.6640625" style="111" bestFit="1" customWidth="1"/>
    <col min="5" max="6" width="5.5546875" style="111" bestFit="1" customWidth="1"/>
    <col min="7" max="7" width="5.88671875" style="111" bestFit="1" customWidth="1"/>
    <col min="8" max="8" width="7.21875" style="111" bestFit="1" customWidth="1"/>
    <col min="9" max="9" width="8" style="111" bestFit="1" customWidth="1"/>
    <col min="10" max="10" width="7.33203125" style="111" bestFit="1" customWidth="1"/>
    <col min="11" max="11" width="5.5546875" style="111" bestFit="1" customWidth="1"/>
    <col min="12" max="14" width="8.33203125" style="80" bestFit="1" customWidth="1"/>
    <col min="15" max="15" width="12.5546875" style="80" bestFit="1" customWidth="1"/>
    <col min="16" max="16" width="24.88671875" style="80" customWidth="1"/>
    <col min="17" max="16384" width="8.88671875" style="80"/>
  </cols>
  <sheetData>
    <row r="1" spans="2:15" ht="13.95" customHeight="1" x14ac:dyDescent="0.3">
      <c r="B1"/>
      <c r="C1" s="110"/>
    </row>
    <row r="2" spans="2:15" ht="13.95" customHeight="1" x14ac:dyDescent="0.3">
      <c r="B2" s="79" t="s">
        <v>83</v>
      </c>
      <c r="C2" s="111" t="s">
        <v>527</v>
      </c>
    </row>
    <row r="3" spans="2:15" ht="13.95" customHeight="1" x14ac:dyDescent="0.3">
      <c r="B3"/>
      <c r="C3" s="110"/>
      <c r="D3" s="110"/>
      <c r="E3" s="110"/>
      <c r="F3" s="110"/>
      <c r="G3" s="110"/>
      <c r="H3" s="110"/>
      <c r="I3" s="110"/>
      <c r="J3" s="110"/>
      <c r="K3" s="110"/>
      <c r="L3"/>
      <c r="M3"/>
      <c r="N3"/>
      <c r="O3"/>
    </row>
    <row r="4" spans="2:15" ht="13.95" customHeight="1" x14ac:dyDescent="0.3">
      <c r="B4" s="79" t="s">
        <v>526</v>
      </c>
      <c r="C4" s="112" t="s">
        <v>147</v>
      </c>
      <c r="L4" s="111"/>
      <c r="M4" s="111"/>
      <c r="N4" s="111"/>
      <c r="O4" s="111"/>
    </row>
    <row r="5" spans="2:15" ht="25.2" customHeight="1" x14ac:dyDescent="0.3">
      <c r="B5" s="79" t="s">
        <v>84</v>
      </c>
      <c r="C5" s="111" t="s">
        <v>107</v>
      </c>
      <c r="D5" s="111" t="s">
        <v>109</v>
      </c>
      <c r="E5" s="111" t="s">
        <v>110</v>
      </c>
      <c r="F5" s="111" t="s">
        <v>111</v>
      </c>
      <c r="G5" s="111" t="s">
        <v>112</v>
      </c>
      <c r="H5" s="111" t="s">
        <v>113</v>
      </c>
      <c r="I5" s="111" t="s">
        <v>114</v>
      </c>
      <c r="J5" s="111" t="s">
        <v>115</v>
      </c>
      <c r="K5" s="111" t="s">
        <v>116</v>
      </c>
      <c r="L5" s="80" t="s">
        <v>117</v>
      </c>
      <c r="M5" s="80" t="s">
        <v>118</v>
      </c>
      <c r="N5" s="80" t="s">
        <v>119</v>
      </c>
      <c r="O5" s="80" t="s">
        <v>128</v>
      </c>
    </row>
    <row r="6" spans="2:15" ht="25.2" customHeight="1" x14ac:dyDescent="0.3">
      <c r="B6" s="81" t="s">
        <v>5</v>
      </c>
      <c r="C6" s="113">
        <v>16.084199163405749</v>
      </c>
      <c r="D6" s="113">
        <v>34.562272016675351</v>
      </c>
      <c r="E6" s="113">
        <v>39.403787963689339</v>
      </c>
      <c r="F6" s="113">
        <v>34.667812845388681</v>
      </c>
      <c r="G6" s="113">
        <v>48.875165416850464</v>
      </c>
      <c r="H6" s="113">
        <v>28.501708150317228</v>
      </c>
      <c r="I6" s="113">
        <v>14.744665547830257</v>
      </c>
      <c r="J6" s="113">
        <v>27.332427536231883</v>
      </c>
      <c r="K6" s="113">
        <v>24.934472934472936</v>
      </c>
      <c r="L6" s="82" t="e">
        <v>#DIV/0!</v>
      </c>
      <c r="M6" s="82" t="e">
        <v>#DIV/0!</v>
      </c>
      <c r="N6" s="82" t="e">
        <v>#DIV/0!</v>
      </c>
      <c r="O6" s="82" t="e">
        <v>#DIV/0!</v>
      </c>
    </row>
    <row r="7" spans="2:15" ht="25.2" customHeight="1" x14ac:dyDescent="0.3">
      <c r="B7" s="81" t="s">
        <v>46</v>
      </c>
      <c r="C7" s="113">
        <v>21.78959741404643</v>
      </c>
      <c r="D7" s="113">
        <v>36.381004366812228</v>
      </c>
      <c r="E7" s="113">
        <v>36.545589325426242</v>
      </c>
      <c r="F7" s="113">
        <v>31.453931741467684</v>
      </c>
      <c r="G7" s="113">
        <v>25.297657150172832</v>
      </c>
      <c r="H7" s="113">
        <v>32.690294601465531</v>
      </c>
      <c r="I7" s="113">
        <v>22.395453883141485</v>
      </c>
      <c r="J7" s="113">
        <v>35.534883720930232</v>
      </c>
      <c r="K7" s="113">
        <v>32.102376599634368</v>
      </c>
      <c r="L7" s="82" t="e">
        <v>#DIV/0!</v>
      </c>
      <c r="M7" s="82" t="e">
        <v>#DIV/0!</v>
      </c>
      <c r="N7" s="82" t="e">
        <v>#DIV/0!</v>
      </c>
      <c r="O7" s="82" t="e">
        <v>#DIV/0!</v>
      </c>
    </row>
    <row r="8" spans="2:15" ht="25.2" customHeight="1" x14ac:dyDescent="0.3">
      <c r="B8" s="81" t="s">
        <v>9</v>
      </c>
      <c r="C8" s="113">
        <v>19.846460051179982</v>
      </c>
      <c r="D8" s="113">
        <v>30.771298038161781</v>
      </c>
      <c r="E8" s="113">
        <v>31.418355184743739</v>
      </c>
      <c r="F8" s="113">
        <v>25.084175084175087</v>
      </c>
      <c r="G8" s="113">
        <v>57.155879671832267</v>
      </c>
      <c r="H8" s="113">
        <v>36.776636019469983</v>
      </c>
      <c r="I8" s="113">
        <v>21.233725976441413</v>
      </c>
      <c r="J8" s="113">
        <v>31.884816753926703</v>
      </c>
      <c r="K8" s="113">
        <v>33.472041612483743</v>
      </c>
      <c r="L8" s="82" t="e">
        <v>#DIV/0!</v>
      </c>
      <c r="M8" s="82" t="e">
        <v>#DIV/0!</v>
      </c>
      <c r="N8" s="82" t="e">
        <v>#DIV/0!</v>
      </c>
      <c r="O8" s="82" t="e">
        <v>#DIV/0!</v>
      </c>
    </row>
    <row r="9" spans="2:15" ht="25.2" customHeight="1" x14ac:dyDescent="0.3">
      <c r="B9" s="81" t="s">
        <v>13</v>
      </c>
      <c r="C9" s="113">
        <v>16.974921630094045</v>
      </c>
      <c r="D9" s="113">
        <v>29.807247494217425</v>
      </c>
      <c r="E9" s="113">
        <v>31.115967763966673</v>
      </c>
      <c r="F9" s="113">
        <v>32.606619987269255</v>
      </c>
      <c r="G9" s="113">
        <v>54.414527238572319</v>
      </c>
      <c r="H9" s="113">
        <v>33.15188528943176</v>
      </c>
      <c r="I9" s="113">
        <v>27.706896551724135</v>
      </c>
      <c r="J9" s="113">
        <v>33.679055027369635</v>
      </c>
      <c r="K9" s="113">
        <v>29.867340492735313</v>
      </c>
      <c r="L9" s="82" t="e">
        <v>#DIV/0!</v>
      </c>
      <c r="M9" s="82" t="e">
        <v>#DIV/0!</v>
      </c>
      <c r="N9" s="82" t="e">
        <v>#DIV/0!</v>
      </c>
      <c r="O9" s="82" t="e">
        <v>#DIV/0!</v>
      </c>
    </row>
    <row r="10" spans="2:15" ht="25.2" customHeight="1" x14ac:dyDescent="0.3">
      <c r="B10" s="81" t="s">
        <v>26</v>
      </c>
      <c r="C10" s="113">
        <v>29.57486136783734</v>
      </c>
      <c r="D10" s="113">
        <v>30.05464480874317</v>
      </c>
      <c r="E10" s="113">
        <v>30.315552216378659</v>
      </c>
      <c r="F10" s="113">
        <v>35.162601626016261</v>
      </c>
      <c r="G10" s="113">
        <v>40.683482506102528</v>
      </c>
      <c r="H10" s="113">
        <v>33.589664718548143</v>
      </c>
      <c r="I10" s="113">
        <v>16.092375366568916</v>
      </c>
      <c r="J10" s="113">
        <v>27.288329519450798</v>
      </c>
      <c r="K10" s="113">
        <v>26.232741617357004</v>
      </c>
      <c r="L10" s="82" t="e">
        <v>#DIV/0!</v>
      </c>
      <c r="M10" s="82" t="e">
        <v>#DIV/0!</v>
      </c>
      <c r="N10" s="82" t="e">
        <v>#DIV/0!</v>
      </c>
      <c r="O10" s="82" t="e">
        <v>#DIV/0!</v>
      </c>
    </row>
    <row r="11" spans="2:15" ht="25.2" customHeight="1" x14ac:dyDescent="0.3">
      <c r="B11" s="81" t="s">
        <v>32</v>
      </c>
      <c r="C11" s="113">
        <v>19.255222524977295</v>
      </c>
      <c r="D11" s="113">
        <v>31.445170660856935</v>
      </c>
      <c r="E11" s="113">
        <v>28.161780440830302</v>
      </c>
      <c r="F11" s="113">
        <v>32.788906009244997</v>
      </c>
      <c r="G11" s="113">
        <v>40.477629987908102</v>
      </c>
      <c r="H11" s="113"/>
      <c r="I11" s="113"/>
      <c r="J11" s="113"/>
      <c r="K11" s="113"/>
      <c r="L11" s="82"/>
      <c r="M11" s="82"/>
      <c r="N11" s="82"/>
      <c r="O11" s="82">
        <v>152.12870962381763</v>
      </c>
    </row>
    <row r="12" spans="2:15" ht="25.2" customHeight="1" x14ac:dyDescent="0.3">
      <c r="B12" s="81" t="s">
        <v>43</v>
      </c>
      <c r="C12" s="113">
        <v>16.694736842105261</v>
      </c>
      <c r="D12" s="113">
        <v>30.395984383714449</v>
      </c>
      <c r="E12" s="113">
        <v>33.46077127659575</v>
      </c>
      <c r="F12" s="113">
        <v>29.923090681452337</v>
      </c>
      <c r="G12" s="113">
        <v>35.447761194029852</v>
      </c>
      <c r="H12" s="113">
        <v>32.439215686274508</v>
      </c>
      <c r="I12" s="113">
        <v>24.227093872962339</v>
      </c>
      <c r="J12" s="113">
        <v>29.894298049724576</v>
      </c>
      <c r="K12" s="113">
        <v>27.821229050279328</v>
      </c>
      <c r="L12" s="82" t="e">
        <v>#DIV/0!</v>
      </c>
      <c r="M12" s="82" t="e">
        <v>#DIV/0!</v>
      </c>
      <c r="N12" s="82" t="e">
        <v>#DIV/0!</v>
      </c>
      <c r="O12" s="82" t="e">
        <v>#DIV/0!</v>
      </c>
    </row>
    <row r="13" spans="2:15" ht="25.2" customHeight="1" x14ac:dyDescent="0.3">
      <c r="B13" s="81" t="s">
        <v>17</v>
      </c>
      <c r="C13" s="113">
        <v>21.275050827766485</v>
      </c>
      <c r="D13" s="113">
        <v>34.406231628453845</v>
      </c>
      <c r="E13" s="113">
        <v>31.17168324505878</v>
      </c>
      <c r="F13" s="113">
        <v>32.917828440216503</v>
      </c>
      <c r="G13" s="113">
        <v>40.974368296673333</v>
      </c>
      <c r="H13" s="113">
        <v>32.863978127136022</v>
      </c>
      <c r="I13" s="113">
        <v>26.467963590933429</v>
      </c>
      <c r="J13" s="113">
        <v>36.937276323224708</v>
      </c>
      <c r="K13" s="113">
        <v>35.404861999634434</v>
      </c>
      <c r="L13" s="82" t="e">
        <v>#DIV/0!</v>
      </c>
      <c r="M13" s="82" t="e">
        <v>#DIV/0!</v>
      </c>
      <c r="N13" s="82" t="e">
        <v>#DIV/0!</v>
      </c>
      <c r="O13" s="82" t="e">
        <v>#DIV/0!</v>
      </c>
    </row>
    <row r="14" spans="2:15" ht="25.2" customHeight="1" x14ac:dyDescent="0.3">
      <c r="B14" s="81" t="s">
        <v>29</v>
      </c>
      <c r="C14" s="113">
        <v>34.811742182514358</v>
      </c>
      <c r="D14" s="113">
        <v>43.141737426518617</v>
      </c>
      <c r="E14" s="113">
        <v>42.403958090803265</v>
      </c>
      <c r="F14" s="113">
        <v>35.175619834710744</v>
      </c>
      <c r="G14" s="113">
        <v>57.836045810729352</v>
      </c>
      <c r="H14" s="113">
        <v>44.653103808033386</v>
      </c>
      <c r="I14" s="113">
        <v>31.939413895291409</v>
      </c>
      <c r="J14" s="113">
        <v>47.701863354037265</v>
      </c>
      <c r="K14" s="113">
        <v>41.881533101045299</v>
      </c>
      <c r="L14" s="82" t="e">
        <v>#DIV/0!</v>
      </c>
      <c r="M14" s="82" t="e">
        <v>#DIV/0!</v>
      </c>
      <c r="N14" s="82" t="e">
        <v>#DIV/0!</v>
      </c>
      <c r="O14" s="82" t="e">
        <v>#DIV/0!</v>
      </c>
    </row>
    <row r="15" spans="2:15" ht="25.2" customHeight="1" x14ac:dyDescent="0.3">
      <c r="B15" s="81" t="s">
        <v>40</v>
      </c>
      <c r="C15" s="113">
        <v>24.769797421731123</v>
      </c>
      <c r="D15" s="113">
        <v>26.095423563777992</v>
      </c>
      <c r="E15" s="113">
        <v>30.909571655208882</v>
      </c>
      <c r="F15" s="113">
        <v>31.316410861865407</v>
      </c>
      <c r="G15" s="113">
        <v>31.549471064094586</v>
      </c>
      <c r="H15" s="113">
        <v>25.142336597585974</v>
      </c>
      <c r="I15" s="113">
        <v>8.26645264847512</v>
      </c>
      <c r="J15" s="113">
        <v>7.5902726602800303</v>
      </c>
      <c r="K15" s="113">
        <v>11.583372255955162</v>
      </c>
      <c r="L15" s="82" t="e">
        <v>#DIV/0!</v>
      </c>
      <c r="M15" s="82" t="e">
        <v>#DIV/0!</v>
      </c>
      <c r="N15" s="82" t="e">
        <v>#DIV/0!</v>
      </c>
      <c r="O15" s="82" t="e">
        <v>#DIV/0!</v>
      </c>
    </row>
    <row r="16" spans="2:15" ht="25.2" customHeight="1" x14ac:dyDescent="0.3">
      <c r="B16" s="81" t="s">
        <v>35</v>
      </c>
      <c r="C16" s="113">
        <v>22.345663426335058</v>
      </c>
      <c r="D16" s="113">
        <v>30.230125523012553</v>
      </c>
      <c r="E16" s="113">
        <v>32.128378378378379</v>
      </c>
      <c r="F16" s="113">
        <v>29.642405427158792</v>
      </c>
      <c r="G16" s="113">
        <v>35.592751417900125</v>
      </c>
      <c r="H16" s="113">
        <v>27.534883720930232</v>
      </c>
      <c r="I16" s="113">
        <v>19.934162399414777</v>
      </c>
      <c r="J16" s="113">
        <v>24.828516810974925</v>
      </c>
      <c r="K16" s="113">
        <v>22.053740662281189</v>
      </c>
      <c r="L16" s="82" t="e">
        <v>#DIV/0!</v>
      </c>
      <c r="M16" s="82" t="e">
        <v>#DIV/0!</v>
      </c>
      <c r="N16" s="82" t="e">
        <v>#DIV/0!</v>
      </c>
      <c r="O16" s="82" t="e">
        <v>#DIV/0!</v>
      </c>
    </row>
    <row r="17" spans="2:15" ht="25.2" customHeight="1" x14ac:dyDescent="0.3">
      <c r="B17" s="81" t="s">
        <v>25</v>
      </c>
      <c r="C17" s="113">
        <v>19.086986145809675</v>
      </c>
      <c r="D17" s="113">
        <v>25.071652189249967</v>
      </c>
      <c r="E17" s="113">
        <v>23.767882483795496</v>
      </c>
      <c r="F17" s="113">
        <v>24.065814624639255</v>
      </c>
      <c r="G17" s="113">
        <v>29.95007597134795</v>
      </c>
      <c r="H17" s="113">
        <v>23.084726657899683</v>
      </c>
      <c r="I17" s="113">
        <v>22.271228195653038</v>
      </c>
      <c r="J17" s="113">
        <v>24.370463761202167</v>
      </c>
      <c r="K17" s="113">
        <v>21.742257383017936</v>
      </c>
      <c r="L17" s="82" t="e">
        <v>#DIV/0!</v>
      </c>
      <c r="M17" s="82" t="e">
        <v>#DIV/0!</v>
      </c>
      <c r="N17" s="82" t="e">
        <v>#DIV/0!</v>
      </c>
      <c r="O17" s="82" t="e">
        <v>#DIV/0!</v>
      </c>
    </row>
    <row r="18" spans="2:15" ht="25.2" customHeight="1" x14ac:dyDescent="0.3">
      <c r="B18" s="81" t="s">
        <v>20</v>
      </c>
      <c r="C18" s="113">
        <v>29.767997270556123</v>
      </c>
      <c r="D18" s="113">
        <v>27.038843114175215</v>
      </c>
      <c r="E18" s="113">
        <v>29.984779299847791</v>
      </c>
      <c r="F18" s="113">
        <v>26.943538699159085</v>
      </c>
      <c r="G18" s="113">
        <v>46.535919846514602</v>
      </c>
      <c r="H18" s="113">
        <v>35.273398188527338</v>
      </c>
      <c r="I18" s="113">
        <v>29.73708068902992</v>
      </c>
      <c r="J18" s="113">
        <v>31.302270011947432</v>
      </c>
      <c r="K18" s="113">
        <v>27.769419589832921</v>
      </c>
      <c r="L18" s="82" t="e">
        <v>#DIV/0!</v>
      </c>
      <c r="M18" s="82" t="e">
        <v>#DIV/0!</v>
      </c>
      <c r="N18" s="82" t="e">
        <v>#DIV/0!</v>
      </c>
      <c r="O18" s="82" t="e">
        <v>#DIV/0!</v>
      </c>
    </row>
    <row r="19" spans="2:15" ht="17.399999999999999" customHeight="1" x14ac:dyDescent="0.3">
      <c r="B19" s="81" t="s">
        <v>23</v>
      </c>
      <c r="C19" s="113">
        <v>40.051150895140665</v>
      </c>
      <c r="D19" s="113">
        <v>32.307692307692307</v>
      </c>
      <c r="E19" s="113">
        <v>31.745362563237773</v>
      </c>
      <c r="F19" s="113">
        <v>31.593406593406591</v>
      </c>
      <c r="G19" s="113">
        <v>36.097560975609753</v>
      </c>
      <c r="H19" s="113">
        <v>27.844178840194779</v>
      </c>
      <c r="I19" s="113">
        <v>30.324074074074076</v>
      </c>
      <c r="J19" s="113">
        <v>35.845588235294116</v>
      </c>
      <c r="K19" s="113">
        <v>31.234768480909832</v>
      </c>
      <c r="L19" s="82" t="e">
        <v>#DIV/0!</v>
      </c>
      <c r="M19" s="82" t="e">
        <v>#DIV/0!</v>
      </c>
      <c r="N19" s="82" t="e">
        <v>#DIV/0!</v>
      </c>
      <c r="O19" s="82" t="e">
        <v>#DIV/0!</v>
      </c>
    </row>
    <row r="20" spans="2:15" ht="13.95" customHeight="1" x14ac:dyDescent="0.3">
      <c r="B20" s="81" t="s">
        <v>19</v>
      </c>
      <c r="C20" s="113">
        <v>28.112609040444092</v>
      </c>
      <c r="D20" s="113">
        <v>26.492146596858639</v>
      </c>
      <c r="E20" s="113">
        <v>22.622377622377623</v>
      </c>
      <c r="F20" s="113">
        <v>26.783004552352047</v>
      </c>
      <c r="G20" s="113">
        <v>29.803752426137585</v>
      </c>
      <c r="H20" s="113">
        <v>20.543175487465181</v>
      </c>
      <c r="I20" s="113">
        <v>15.779131460011788</v>
      </c>
      <c r="J20" s="113">
        <v>17.920422754118746</v>
      </c>
      <c r="K20" s="113">
        <v>7.6148610323312536</v>
      </c>
      <c r="L20" s="82" t="e">
        <v>#DIV/0!</v>
      </c>
      <c r="M20" s="82" t="e">
        <v>#DIV/0!</v>
      </c>
      <c r="N20" s="82" t="e">
        <v>#DIV/0!</v>
      </c>
      <c r="O20" s="82" t="e">
        <v>#DIV/0!</v>
      </c>
    </row>
    <row r="21" spans="2:15" ht="13.95" customHeight="1" x14ac:dyDescent="0.3">
      <c r="B21" s="81" t="s">
        <v>1015</v>
      </c>
      <c r="C21" s="113"/>
      <c r="D21" s="113"/>
      <c r="E21" s="113"/>
      <c r="F21" s="113"/>
      <c r="G21" s="113"/>
      <c r="H21" s="113">
        <v>26.0099220411056</v>
      </c>
      <c r="I21" s="113">
        <v>17.511177347242921</v>
      </c>
      <c r="J21" s="113"/>
      <c r="K21" s="113">
        <v>20.986984815618221</v>
      </c>
      <c r="L21" s="82" t="e">
        <v>#DIV/0!</v>
      </c>
      <c r="M21" s="82" t="e">
        <v>#DIV/0!</v>
      </c>
      <c r="N21" s="82" t="e">
        <v>#DIV/0!</v>
      </c>
      <c r="O21" s="82" t="e">
        <v>#DIV/0!</v>
      </c>
    </row>
    <row r="22" spans="2:15" ht="13.95" customHeight="1" x14ac:dyDescent="0.3">
      <c r="B22" s="81" t="s">
        <v>1016</v>
      </c>
      <c r="C22" s="113"/>
      <c r="D22" s="113"/>
      <c r="E22" s="113"/>
      <c r="F22" s="113"/>
      <c r="G22" s="113"/>
      <c r="H22" s="113">
        <v>32.146652497343254</v>
      </c>
      <c r="I22" s="113">
        <v>30.416372618207483</v>
      </c>
      <c r="J22" s="113"/>
      <c r="K22" s="113">
        <v>28.688046647230319</v>
      </c>
      <c r="L22" s="82" t="e">
        <v>#DIV/0!</v>
      </c>
      <c r="M22" s="82" t="e">
        <v>#DIV/0!</v>
      </c>
      <c r="N22" s="82" t="e">
        <v>#DIV/0!</v>
      </c>
      <c r="O22" s="82" t="e">
        <v>#DIV/0!</v>
      </c>
    </row>
    <row r="23" spans="2:15" ht="13.95" customHeight="1" x14ac:dyDescent="0.3">
      <c r="B23" s="81" t="s">
        <v>1017</v>
      </c>
      <c r="C23" s="113"/>
      <c r="D23" s="113"/>
      <c r="E23" s="113"/>
      <c r="F23" s="113"/>
      <c r="G23" s="113"/>
      <c r="H23" s="113">
        <v>29.762532981530342</v>
      </c>
      <c r="I23" s="113">
        <v>26.367831245880026</v>
      </c>
      <c r="J23" s="113"/>
      <c r="K23" s="113">
        <v>19.043401240035429</v>
      </c>
      <c r="L23" s="82" t="e">
        <v>#DIV/0!</v>
      </c>
      <c r="M23" s="82" t="e">
        <v>#DIV/0!</v>
      </c>
      <c r="N23" s="82" t="e">
        <v>#DIV/0!</v>
      </c>
      <c r="O23" s="82" t="e">
        <v>#DIV/0!</v>
      </c>
    </row>
    <row r="24" spans="2:15" ht="13.95" customHeight="1" x14ac:dyDescent="0.3">
      <c r="B24" s="81" t="s">
        <v>1014</v>
      </c>
      <c r="C24" s="113"/>
      <c r="D24" s="113"/>
      <c r="E24" s="113"/>
      <c r="F24" s="113"/>
      <c r="G24" s="113"/>
      <c r="H24" s="113">
        <v>34.665621734587255</v>
      </c>
      <c r="I24" s="113">
        <v>30.409110080134965</v>
      </c>
      <c r="J24" s="113">
        <v>39.922075453767938</v>
      </c>
      <c r="K24" s="113">
        <v>33.555056900144251</v>
      </c>
      <c r="L24" s="82" t="e">
        <v>#DIV/0!</v>
      </c>
      <c r="M24" s="82" t="e">
        <v>#DIV/0!</v>
      </c>
      <c r="N24" s="82" t="e">
        <v>#DIV/0!</v>
      </c>
      <c r="O24" s="82" t="e">
        <v>#DIV/0!</v>
      </c>
    </row>
    <row r="25" spans="2:15" ht="13.95" customHeight="1" x14ac:dyDescent="0.3">
      <c r="B25" s="81" t="s">
        <v>1070</v>
      </c>
      <c r="C25" s="113"/>
      <c r="D25" s="113"/>
      <c r="E25" s="113"/>
      <c r="F25" s="113"/>
      <c r="G25" s="113"/>
      <c r="H25" s="113"/>
      <c r="I25" s="113"/>
      <c r="J25" s="113">
        <v>28.785842293906811</v>
      </c>
      <c r="K25" s="113"/>
      <c r="L25" s="82"/>
      <c r="M25" s="82"/>
      <c r="N25" s="82"/>
      <c r="O25" s="82">
        <v>28.785842293906811</v>
      </c>
    </row>
    <row r="26" spans="2:15" ht="13.95" customHeight="1" x14ac:dyDescent="0.3">
      <c r="B26" s="81" t="s">
        <v>128</v>
      </c>
      <c r="C26" s="113">
        <v>360.44099620394366</v>
      </c>
      <c r="D26" s="113">
        <v>468.20147411892049</v>
      </c>
      <c r="E26" s="113">
        <v>475.15579751033869</v>
      </c>
      <c r="F26" s="113">
        <v>460.12516700852274</v>
      </c>
      <c r="G26" s="113">
        <v>610.6920489744756</v>
      </c>
      <c r="H26" s="113">
        <v>556.67391514784629</v>
      </c>
      <c r="I26" s="113">
        <v>415.82420944301759</v>
      </c>
      <c r="J26" s="113">
        <v>480.81840226638798</v>
      </c>
      <c r="K26" s="113">
        <v>475.98850641499894</v>
      </c>
      <c r="L26" s="82" t="e">
        <v>#DIV/0!</v>
      </c>
      <c r="M26" s="82" t="e">
        <v>#DIV/0!</v>
      </c>
      <c r="N26" s="82" t="e">
        <v>#DIV/0!</v>
      </c>
      <c r="O26" s="82" t="e">
        <v>#DIV/0!</v>
      </c>
    </row>
    <row r="27" spans="2:15" ht="13.95" customHeight="1" x14ac:dyDescent="0.3">
      <c r="B27" s="109" t="s">
        <v>546</v>
      </c>
      <c r="C27" s="114">
        <f>AVERAGE(C15:C16)</f>
        <v>23.557730424033089</v>
      </c>
      <c r="D27" s="114">
        <f t="shared" ref="D27:K27" si="0">AVERAGE(D15:D16)</f>
        <v>28.162774543395273</v>
      </c>
      <c r="E27" s="114">
        <f t="shared" si="0"/>
        <v>31.518975016793632</v>
      </c>
      <c r="F27" s="114">
        <f t="shared" si="0"/>
        <v>30.479408144512099</v>
      </c>
      <c r="G27" s="114">
        <f t="shared" si="0"/>
        <v>33.571111240997354</v>
      </c>
      <c r="H27" s="114">
        <f t="shared" si="0"/>
        <v>26.338610159258103</v>
      </c>
      <c r="I27" s="114">
        <f t="shared" si="0"/>
        <v>14.100307523944949</v>
      </c>
      <c r="J27" s="114">
        <f t="shared" si="0"/>
        <v>16.209394735627477</v>
      </c>
      <c r="K27" s="114">
        <f t="shared" si="0"/>
        <v>16.818556459118177</v>
      </c>
      <c r="L27"/>
      <c r="M27"/>
      <c r="N27"/>
      <c r="O27" s="114">
        <f t="shared" ref="O27:O29" si="1">AVERAGE(C27)</f>
        <v>23.557730424033089</v>
      </c>
    </row>
    <row r="28" spans="2:15" ht="13.95" customHeight="1" x14ac:dyDescent="0.3">
      <c r="B28" s="109" t="s">
        <v>25</v>
      </c>
      <c r="C28" s="114">
        <f>AVERAGE(C17,C19)</f>
        <v>29.56906852047517</v>
      </c>
      <c r="D28" s="114">
        <f t="shared" ref="D28:K28" si="2">AVERAGE(D17,D19)</f>
        <v>28.689672248471137</v>
      </c>
      <c r="E28" s="114">
        <f t="shared" si="2"/>
        <v>27.756622523516633</v>
      </c>
      <c r="F28" s="114">
        <f t="shared" si="2"/>
        <v>27.829610609022922</v>
      </c>
      <c r="G28" s="114">
        <f t="shared" si="2"/>
        <v>33.023818473478855</v>
      </c>
      <c r="H28" s="114">
        <f t="shared" si="2"/>
        <v>25.464452749047233</v>
      </c>
      <c r="I28" s="114">
        <f t="shared" si="2"/>
        <v>26.297651134863557</v>
      </c>
      <c r="J28" s="114">
        <f t="shared" si="2"/>
        <v>30.108025998248142</v>
      </c>
      <c r="K28" s="114">
        <f t="shared" si="2"/>
        <v>26.488512931963882</v>
      </c>
      <c r="L28"/>
      <c r="M28"/>
      <c r="N28"/>
      <c r="O28" s="114">
        <f t="shared" si="1"/>
        <v>29.56906852047517</v>
      </c>
    </row>
    <row r="29" spans="2:15" ht="13.95" customHeight="1" x14ac:dyDescent="0.3">
      <c r="B29" s="109" t="s">
        <v>20</v>
      </c>
      <c r="C29" s="114">
        <f>AVERAGE(C18)</f>
        <v>29.767997270556123</v>
      </c>
      <c r="D29" s="114">
        <f t="shared" ref="D29:K29" si="3">AVERAGE(D18)</f>
        <v>27.038843114175215</v>
      </c>
      <c r="E29" s="114">
        <f t="shared" si="3"/>
        <v>29.984779299847791</v>
      </c>
      <c r="F29" s="114">
        <f t="shared" si="3"/>
        <v>26.943538699159085</v>
      </c>
      <c r="G29" s="114">
        <f t="shared" si="3"/>
        <v>46.535919846514602</v>
      </c>
      <c r="H29" s="114">
        <f t="shared" si="3"/>
        <v>35.273398188527338</v>
      </c>
      <c r="I29" s="114">
        <f t="shared" si="3"/>
        <v>29.73708068902992</v>
      </c>
      <c r="J29" s="114">
        <f t="shared" si="3"/>
        <v>31.302270011947432</v>
      </c>
      <c r="K29" s="114">
        <f t="shared" si="3"/>
        <v>27.769419589832921</v>
      </c>
      <c r="L29"/>
      <c r="M29"/>
      <c r="N29"/>
      <c r="O29" s="114">
        <f t="shared" si="1"/>
        <v>29.767997270556123</v>
      </c>
    </row>
    <row r="30" spans="2:15" ht="13.95" customHeight="1" x14ac:dyDescent="0.3">
      <c r="B30"/>
      <c r="C30" s="110"/>
      <c r="D30" s="110"/>
      <c r="E30" s="110"/>
      <c r="F30" s="110"/>
      <c r="G30" s="110"/>
      <c r="H30" s="110"/>
      <c r="I30" s="110"/>
      <c r="J30" s="110"/>
      <c r="K30" s="110"/>
      <c r="L30"/>
      <c r="M30"/>
      <c r="N30"/>
      <c r="O30"/>
    </row>
    <row r="31" spans="2:15" ht="13.95" customHeight="1" x14ac:dyDescent="0.3">
      <c r="B31" s="115" t="s">
        <v>547</v>
      </c>
      <c r="C31" s="114">
        <f>AVERAGE(C26:C29)</f>
        <v>110.83394810475201</v>
      </c>
      <c r="D31" s="114">
        <f t="shared" ref="D31:K31" si="4">AVERAGE(D26:D29)</f>
        <v>138.02319100624049</v>
      </c>
      <c r="E31" s="114">
        <f t="shared" si="4"/>
        <v>141.10404358762418</v>
      </c>
      <c r="F31" s="114">
        <f t="shared" si="4"/>
        <v>136.34443111530419</v>
      </c>
      <c r="G31" s="114">
        <f t="shared" si="4"/>
        <v>180.95572463386659</v>
      </c>
      <c r="H31" s="114">
        <f t="shared" si="4"/>
        <v>160.93759406116976</v>
      </c>
      <c r="I31" s="114">
        <f t="shared" si="4"/>
        <v>121.489812197714</v>
      </c>
      <c r="J31" s="114">
        <f t="shared" si="4"/>
        <v>139.60952325305277</v>
      </c>
      <c r="K31" s="114">
        <f t="shared" si="4"/>
        <v>136.76624884897848</v>
      </c>
      <c r="L31"/>
      <c r="M31"/>
      <c r="N31"/>
      <c r="O31" s="114" t="e">
        <f>AVERAGE(O26:O29)</f>
        <v>#DIV/0!</v>
      </c>
    </row>
    <row r="32" spans="2:15" ht="13.95" customHeight="1" x14ac:dyDescent="0.3">
      <c r="B32"/>
      <c r="C32" s="110"/>
      <c r="D32" s="110"/>
      <c r="E32" s="110"/>
      <c r="F32" s="110"/>
      <c r="G32" s="110"/>
      <c r="H32" s="110"/>
      <c r="I32" s="110"/>
      <c r="J32" s="110"/>
      <c r="K32" s="110"/>
      <c r="L32"/>
      <c r="M32"/>
      <c r="N32"/>
      <c r="O32"/>
    </row>
    <row r="33" spans="2:15" ht="13.95" customHeight="1" x14ac:dyDescent="0.3">
      <c r="B33"/>
      <c r="C33" s="110"/>
      <c r="D33" s="110"/>
      <c r="E33" s="110"/>
      <c r="F33" s="110"/>
      <c r="G33" s="110"/>
      <c r="H33" s="110"/>
      <c r="I33" s="110"/>
      <c r="J33" s="110"/>
      <c r="K33" s="110"/>
      <c r="L33"/>
      <c r="M33"/>
      <c r="N33"/>
      <c r="O33"/>
    </row>
    <row r="34" spans="2:15" ht="13.95" customHeight="1" x14ac:dyDescent="0.3">
      <c r="B34"/>
      <c r="C34" s="110"/>
      <c r="D34" s="110"/>
      <c r="E34" s="110"/>
      <c r="F34" s="110"/>
      <c r="G34" s="110"/>
      <c r="H34" s="110"/>
      <c r="I34" s="110"/>
      <c r="J34" s="110"/>
      <c r="K34" s="110"/>
      <c r="L34"/>
      <c r="M34"/>
      <c r="N34"/>
      <c r="O34"/>
    </row>
    <row r="35" spans="2:15" ht="13.95" customHeight="1" x14ac:dyDescent="0.3">
      <c r="B35"/>
      <c r="C35" s="110"/>
      <c r="D35" s="110"/>
      <c r="E35" s="110"/>
      <c r="F35" s="110"/>
      <c r="G35" s="110"/>
      <c r="H35" s="110"/>
      <c r="I35" s="110"/>
      <c r="J35" s="110"/>
      <c r="K35" s="110"/>
      <c r="L35"/>
      <c r="M35"/>
      <c r="N35"/>
      <c r="O35"/>
    </row>
    <row r="36" spans="2:15" ht="13.95" customHeight="1" x14ac:dyDescent="0.3">
      <c r="B36"/>
      <c r="C36" s="110"/>
      <c r="D36" s="110"/>
      <c r="E36" s="110"/>
      <c r="F36" s="110"/>
      <c r="G36" s="110"/>
      <c r="H36" s="110"/>
      <c r="I36" s="110"/>
      <c r="J36" s="110"/>
      <c r="K36" s="110"/>
      <c r="L36"/>
      <c r="M36"/>
      <c r="N36"/>
      <c r="O36"/>
    </row>
    <row r="37" spans="2:15" ht="13.95" customHeight="1" x14ac:dyDescent="0.3">
      <c r="B37"/>
      <c r="C37" s="110"/>
      <c r="D37" s="110"/>
      <c r="E37" s="110"/>
      <c r="F37" s="110"/>
      <c r="G37" s="110"/>
      <c r="H37" s="110"/>
      <c r="I37" s="110"/>
      <c r="J37" s="110"/>
      <c r="K37" s="110"/>
      <c r="L37"/>
      <c r="M37"/>
      <c r="N37"/>
      <c r="O37"/>
    </row>
    <row r="38" spans="2:15" ht="13.95" customHeight="1" x14ac:dyDescent="0.3">
      <c r="B38"/>
      <c r="C38" s="110"/>
      <c r="D38" s="110"/>
      <c r="E38" s="110"/>
      <c r="F38" s="110"/>
      <c r="G38" s="110"/>
      <c r="H38" s="110"/>
      <c r="I38" s="110"/>
      <c r="J38" s="110"/>
      <c r="K38" s="110"/>
      <c r="L38"/>
      <c r="M38"/>
      <c r="N38"/>
      <c r="O38"/>
    </row>
    <row r="39" spans="2:15" ht="13.95" customHeight="1" x14ac:dyDescent="0.3">
      <c r="B39"/>
      <c r="C39" s="110"/>
      <c r="D39" s="110"/>
      <c r="E39" s="110"/>
      <c r="F39" s="110"/>
      <c r="G39" s="110"/>
      <c r="H39" s="110"/>
      <c r="I39" s="110"/>
      <c r="J39" s="110"/>
      <c r="K39" s="110"/>
      <c r="L39"/>
      <c r="M39"/>
      <c r="N39"/>
      <c r="O39"/>
    </row>
    <row r="40" spans="2:15" ht="13.95" customHeight="1" x14ac:dyDescent="0.3">
      <c r="B40"/>
      <c r="C40" s="110"/>
      <c r="D40" s="110"/>
      <c r="E40" s="110"/>
      <c r="F40" s="110"/>
      <c r="G40" s="110"/>
      <c r="H40" s="110"/>
      <c r="I40" s="110"/>
      <c r="J40" s="110"/>
      <c r="K40" s="110"/>
      <c r="L40"/>
      <c r="M40"/>
      <c r="N40"/>
      <c r="O40"/>
    </row>
    <row r="41" spans="2:15" ht="13.95" customHeight="1" x14ac:dyDescent="0.3">
      <c r="B41"/>
      <c r="C41" s="110"/>
      <c r="D41" s="110"/>
      <c r="E41" s="110"/>
      <c r="F41" s="110"/>
      <c r="G41" s="110"/>
      <c r="H41" s="110"/>
      <c r="I41" s="110"/>
      <c r="J41" s="110"/>
      <c r="K41" s="110"/>
      <c r="L41"/>
      <c r="M41"/>
      <c r="N41"/>
      <c r="O41"/>
    </row>
    <row r="42" spans="2:15" ht="13.95" customHeight="1" x14ac:dyDescent="0.3">
      <c r="B42"/>
      <c r="C42" s="110"/>
      <c r="D42" s="110"/>
      <c r="E42" s="110"/>
      <c r="F42" s="110"/>
      <c r="G42" s="110"/>
      <c r="H42" s="110"/>
      <c r="I42" s="110"/>
      <c r="J42" s="110"/>
      <c r="K42" s="110"/>
      <c r="L42"/>
      <c r="M42"/>
      <c r="N42"/>
      <c r="O42"/>
    </row>
    <row r="43" spans="2:15" ht="13.95" customHeight="1" x14ac:dyDescent="0.3">
      <c r="B43"/>
      <c r="C43" s="110"/>
      <c r="D43" s="110"/>
      <c r="E43" s="110"/>
      <c r="F43" s="110"/>
      <c r="G43" s="110"/>
      <c r="H43" s="110"/>
      <c r="I43" s="110"/>
      <c r="J43" s="110"/>
      <c r="K43" s="110"/>
      <c r="L43"/>
      <c r="M43"/>
      <c r="N43"/>
      <c r="O43"/>
    </row>
    <row r="44" spans="2:15" ht="13.95" customHeight="1" x14ac:dyDescent="0.3">
      <c r="B44"/>
      <c r="C44" s="110"/>
      <c r="D44" s="110"/>
      <c r="E44" s="110"/>
      <c r="F44" s="110"/>
      <c r="G44" s="110"/>
      <c r="H44" s="110"/>
      <c r="I44" s="110"/>
      <c r="J44" s="110"/>
      <c r="K44" s="110"/>
      <c r="L44"/>
      <c r="M44"/>
      <c r="N44"/>
      <c r="O44"/>
    </row>
    <row r="45" spans="2:15" ht="13.95" customHeight="1" x14ac:dyDescent="0.3">
      <c r="B45"/>
      <c r="C45" s="110"/>
      <c r="D45" s="110"/>
      <c r="E45" s="110"/>
      <c r="F45" s="110"/>
      <c r="G45" s="110"/>
      <c r="H45" s="110"/>
      <c r="I45" s="110"/>
      <c r="J45" s="110"/>
      <c r="K45" s="110"/>
      <c r="L45"/>
      <c r="M45"/>
      <c r="N45"/>
      <c r="O45"/>
    </row>
    <row r="46" spans="2:15" ht="13.95" customHeight="1" x14ac:dyDescent="0.3">
      <c r="B46"/>
      <c r="C46" s="110"/>
      <c r="D46" s="110"/>
      <c r="E46" s="110"/>
      <c r="F46" s="110"/>
      <c r="G46" s="110"/>
      <c r="H46" s="110"/>
      <c r="I46" s="110"/>
      <c r="J46" s="110"/>
      <c r="K46" s="110"/>
      <c r="L46"/>
      <c r="M46"/>
      <c r="N46"/>
      <c r="O46"/>
    </row>
    <row r="47" spans="2:15" ht="13.95" customHeight="1" x14ac:dyDescent="0.3">
      <c r="B47"/>
      <c r="C47" s="110"/>
      <c r="D47" s="110"/>
      <c r="E47" s="110"/>
      <c r="F47" s="110"/>
      <c r="G47" s="110"/>
      <c r="H47" s="110"/>
      <c r="I47" s="110"/>
      <c r="J47" s="110"/>
      <c r="K47" s="110"/>
      <c r="L47"/>
      <c r="M47"/>
      <c r="N47"/>
      <c r="O47"/>
    </row>
    <row r="48" spans="2:15" ht="13.95" customHeight="1" x14ac:dyDescent="0.3">
      <c r="B48"/>
      <c r="C48" s="110"/>
      <c r="D48" s="110"/>
      <c r="E48" s="110"/>
      <c r="F48" s="110"/>
      <c r="G48" s="110"/>
      <c r="H48" s="110"/>
      <c r="I48" s="110"/>
      <c r="J48" s="110"/>
      <c r="K48" s="110"/>
      <c r="L48"/>
      <c r="M48"/>
      <c r="N48"/>
      <c r="O48"/>
    </row>
    <row r="49" spans="2:15" ht="13.95" customHeight="1" x14ac:dyDescent="0.3">
      <c r="B49"/>
      <c r="C49" s="110"/>
      <c r="D49" s="110"/>
      <c r="E49" s="110"/>
      <c r="F49" s="110"/>
      <c r="G49" s="110"/>
      <c r="H49" s="110"/>
      <c r="I49" s="110"/>
      <c r="J49" s="110"/>
      <c r="K49" s="110"/>
      <c r="L49"/>
      <c r="M49"/>
      <c r="N49"/>
      <c r="O49"/>
    </row>
    <row r="50" spans="2:15" ht="13.95" customHeight="1" x14ac:dyDescent="0.3">
      <c r="B50"/>
      <c r="C50" s="110"/>
      <c r="D50" s="110"/>
      <c r="E50" s="110"/>
      <c r="F50" s="110"/>
      <c r="G50" s="110"/>
      <c r="H50" s="110"/>
      <c r="I50" s="110"/>
      <c r="J50" s="110"/>
      <c r="K50" s="110"/>
      <c r="L50"/>
      <c r="M50"/>
      <c r="N50"/>
      <c r="O50"/>
    </row>
    <row r="51" spans="2:15" ht="13.95" customHeight="1" x14ac:dyDescent="0.3">
      <c r="B51"/>
      <c r="C51" s="110"/>
      <c r="D51" s="110"/>
      <c r="E51" s="110"/>
      <c r="F51" s="110"/>
      <c r="G51" s="110"/>
      <c r="H51" s="110"/>
      <c r="I51" s="110"/>
      <c r="J51" s="110"/>
      <c r="K51" s="110"/>
      <c r="L51"/>
      <c r="M51"/>
      <c r="N51"/>
      <c r="O51"/>
    </row>
    <row r="52" spans="2:15" ht="13.95" customHeight="1" x14ac:dyDescent="0.3">
      <c r="B52"/>
      <c r="C52" s="110"/>
      <c r="D52" s="110"/>
      <c r="E52" s="110"/>
      <c r="F52" s="110"/>
      <c r="G52" s="110"/>
      <c r="H52" s="110"/>
      <c r="I52" s="110"/>
      <c r="J52" s="110"/>
      <c r="K52" s="110"/>
      <c r="L52"/>
      <c r="M52"/>
      <c r="N52"/>
      <c r="O52"/>
    </row>
    <row r="53" spans="2:15" ht="13.95" customHeight="1" x14ac:dyDescent="0.3">
      <c r="B53"/>
      <c r="C53" s="110"/>
      <c r="D53" s="110"/>
      <c r="E53" s="110"/>
      <c r="F53" s="110"/>
      <c r="G53" s="110"/>
      <c r="H53" s="110"/>
      <c r="I53" s="110"/>
      <c r="J53" s="110"/>
      <c r="K53" s="110"/>
      <c r="L53"/>
      <c r="M53"/>
      <c r="N53"/>
      <c r="O53"/>
    </row>
    <row r="54" spans="2:15" ht="13.95" customHeight="1" x14ac:dyDescent="0.3">
      <c r="B54"/>
      <c r="C54" s="110"/>
      <c r="D54" s="110"/>
      <c r="E54" s="110"/>
      <c r="F54" s="110"/>
      <c r="G54" s="110"/>
      <c r="H54" s="110"/>
      <c r="I54" s="110"/>
      <c r="J54" s="110"/>
      <c r="K54" s="110"/>
      <c r="L54"/>
      <c r="M54"/>
      <c r="N54"/>
      <c r="O54"/>
    </row>
    <row r="55" spans="2:15" ht="13.95" customHeight="1" x14ac:dyDescent="0.3">
      <c r="B55"/>
      <c r="C55" s="110"/>
      <c r="D55" s="110"/>
      <c r="E55" s="110"/>
      <c r="F55" s="110"/>
      <c r="G55" s="110"/>
      <c r="H55" s="110"/>
      <c r="I55" s="110"/>
      <c r="J55" s="110"/>
      <c r="K55" s="110"/>
      <c r="L55"/>
      <c r="M55"/>
      <c r="N55"/>
      <c r="O55"/>
    </row>
    <row r="56" spans="2:15" ht="13.95" customHeight="1" x14ac:dyDescent="0.3">
      <c r="B56"/>
      <c r="C56" s="110"/>
      <c r="D56" s="110"/>
      <c r="E56" s="110"/>
      <c r="F56" s="110"/>
      <c r="G56" s="110"/>
      <c r="H56" s="110"/>
      <c r="I56" s="110"/>
      <c r="J56" s="110"/>
      <c r="K56" s="110"/>
      <c r="L56"/>
      <c r="M56"/>
      <c r="N56"/>
      <c r="O56"/>
    </row>
    <row r="57" spans="2:15" ht="13.95" customHeight="1" x14ac:dyDescent="0.3">
      <c r="B57"/>
      <c r="C57" s="110"/>
      <c r="D57" s="110"/>
      <c r="E57" s="110"/>
      <c r="F57" s="110"/>
      <c r="G57" s="110"/>
      <c r="H57" s="110"/>
      <c r="I57" s="110"/>
      <c r="J57" s="110"/>
      <c r="K57" s="110"/>
      <c r="L57"/>
      <c r="M57"/>
      <c r="N57"/>
      <c r="O57"/>
    </row>
    <row r="58" spans="2:15" ht="13.95" customHeight="1" x14ac:dyDescent="0.3">
      <c r="B58"/>
      <c r="C58" s="110"/>
      <c r="D58" s="110"/>
      <c r="E58" s="110"/>
      <c r="F58" s="110"/>
      <c r="G58" s="110"/>
      <c r="H58" s="110"/>
      <c r="I58" s="110"/>
      <c r="J58" s="110"/>
      <c r="K58" s="110"/>
      <c r="L58"/>
      <c r="M58"/>
      <c r="N58"/>
      <c r="O58"/>
    </row>
    <row r="59" spans="2:15" ht="13.95" customHeight="1" x14ac:dyDescent="0.3">
      <c r="B59"/>
      <c r="C59" s="110"/>
      <c r="D59" s="110"/>
      <c r="E59" s="110"/>
      <c r="F59" s="110"/>
      <c r="G59" s="110"/>
      <c r="H59" s="110"/>
      <c r="I59" s="110"/>
      <c r="J59" s="110"/>
      <c r="K59" s="110"/>
      <c r="L59"/>
      <c r="M59"/>
      <c r="N59"/>
      <c r="O59"/>
    </row>
    <row r="60" spans="2:15" ht="13.95" customHeight="1" x14ac:dyDescent="0.3">
      <c r="B60"/>
      <c r="C60" s="110"/>
      <c r="D60" s="110"/>
      <c r="E60" s="110"/>
      <c r="F60" s="110"/>
      <c r="G60" s="110"/>
      <c r="H60" s="110"/>
      <c r="I60" s="110"/>
      <c r="J60" s="110"/>
      <c r="K60" s="110"/>
      <c r="L60"/>
      <c r="M60"/>
      <c r="N60"/>
      <c r="O60"/>
    </row>
    <row r="61" spans="2:15" ht="13.95" customHeight="1" x14ac:dyDescent="0.3">
      <c r="B61"/>
      <c r="C61" s="110"/>
      <c r="D61" s="110"/>
      <c r="E61" s="110"/>
      <c r="F61" s="110"/>
      <c r="G61" s="110"/>
      <c r="H61" s="110"/>
      <c r="I61" s="110"/>
      <c r="J61" s="110"/>
      <c r="K61" s="110"/>
      <c r="L61"/>
      <c r="M61"/>
      <c r="N61"/>
      <c r="O61"/>
    </row>
    <row r="62" spans="2:15" ht="13.95" customHeight="1" x14ac:dyDescent="0.3">
      <c r="B62"/>
      <c r="C62" s="110"/>
      <c r="D62" s="110"/>
      <c r="E62" s="110"/>
      <c r="F62" s="110"/>
      <c r="G62" s="110"/>
      <c r="H62" s="110"/>
      <c r="I62" s="110"/>
      <c r="J62" s="110"/>
      <c r="K62" s="110"/>
      <c r="L62"/>
      <c r="M62"/>
      <c r="N62"/>
      <c r="O62"/>
    </row>
    <row r="63" spans="2:15" ht="13.95" customHeight="1" x14ac:dyDescent="0.3">
      <c r="B63"/>
      <c r="C63" s="110"/>
      <c r="D63" s="110"/>
      <c r="E63" s="110"/>
      <c r="F63" s="110"/>
      <c r="G63" s="110"/>
      <c r="H63" s="110"/>
      <c r="I63" s="110"/>
      <c r="J63" s="110"/>
      <c r="K63" s="110"/>
      <c r="L63"/>
      <c r="M63"/>
      <c r="N63"/>
      <c r="O63"/>
    </row>
    <row r="64" spans="2:15" ht="13.95" customHeight="1" x14ac:dyDescent="0.3">
      <c r="B64"/>
      <c r="C64" s="110"/>
      <c r="D64" s="110"/>
      <c r="E64" s="110"/>
      <c r="F64" s="110"/>
      <c r="G64" s="110"/>
      <c r="H64" s="110"/>
      <c r="I64" s="110"/>
      <c r="J64" s="110"/>
      <c r="K64" s="110"/>
      <c r="L64"/>
      <c r="M64"/>
      <c r="N64"/>
      <c r="O64"/>
    </row>
    <row r="65" spans="2:15" ht="13.95" customHeight="1" x14ac:dyDescent="0.3">
      <c r="B65"/>
      <c r="C65" s="110"/>
      <c r="D65" s="110"/>
      <c r="E65" s="110"/>
      <c r="F65" s="110"/>
      <c r="G65" s="110"/>
      <c r="H65" s="110"/>
      <c r="I65" s="110"/>
      <c r="J65" s="110"/>
      <c r="K65" s="110"/>
      <c r="L65"/>
      <c r="M65"/>
      <c r="N65"/>
      <c r="O65"/>
    </row>
    <row r="66" spans="2:15" ht="13.95" customHeight="1" x14ac:dyDescent="0.3">
      <c r="B66"/>
      <c r="C66" s="110"/>
      <c r="D66" s="110"/>
      <c r="E66" s="110"/>
      <c r="F66" s="110"/>
      <c r="G66" s="110"/>
      <c r="H66" s="110"/>
      <c r="I66" s="110"/>
      <c r="J66" s="110"/>
      <c r="K66" s="110"/>
      <c r="L66"/>
      <c r="M66"/>
      <c r="N66"/>
      <c r="O66"/>
    </row>
    <row r="67" spans="2:15" ht="13.95" customHeight="1" x14ac:dyDescent="0.3">
      <c r="B67"/>
      <c r="C67" s="110"/>
      <c r="D67" s="110"/>
      <c r="E67" s="110"/>
      <c r="F67" s="110"/>
      <c r="G67" s="110"/>
      <c r="H67" s="110"/>
      <c r="I67" s="110"/>
      <c r="J67" s="110"/>
      <c r="K67" s="110"/>
      <c r="L67"/>
      <c r="M67"/>
      <c r="N67"/>
      <c r="O67"/>
    </row>
    <row r="68" spans="2:15" ht="13.95" customHeight="1" x14ac:dyDescent="0.3">
      <c r="B68"/>
      <c r="C68" s="110"/>
      <c r="D68" s="110"/>
      <c r="E68" s="110"/>
      <c r="F68" s="110"/>
      <c r="G68" s="110"/>
      <c r="H68" s="110"/>
      <c r="I68" s="110"/>
      <c r="J68" s="110"/>
      <c r="K68" s="110"/>
      <c r="L68"/>
      <c r="M68"/>
      <c r="N68"/>
      <c r="O68"/>
    </row>
    <row r="69" spans="2:15" ht="13.95" customHeight="1" x14ac:dyDescent="0.3">
      <c r="B69"/>
      <c r="C69" s="110"/>
      <c r="D69" s="110"/>
      <c r="E69" s="110"/>
      <c r="F69" s="110"/>
      <c r="G69" s="110"/>
      <c r="H69" s="110"/>
      <c r="I69" s="110"/>
      <c r="J69" s="110"/>
      <c r="K69" s="110"/>
      <c r="L69"/>
      <c r="M69"/>
      <c r="N69"/>
      <c r="O69"/>
    </row>
    <row r="70" spans="2:15" ht="13.95" customHeight="1" x14ac:dyDescent="0.3">
      <c r="B70"/>
      <c r="C70" s="110"/>
      <c r="D70" s="110"/>
      <c r="E70" s="110"/>
      <c r="F70" s="110"/>
      <c r="G70" s="110"/>
      <c r="H70" s="110"/>
      <c r="I70" s="110"/>
      <c r="J70" s="110"/>
      <c r="K70" s="110"/>
      <c r="L70"/>
      <c r="M70"/>
      <c r="N70"/>
      <c r="O70"/>
    </row>
    <row r="71" spans="2:15" ht="13.95" customHeight="1" x14ac:dyDescent="0.3">
      <c r="B71"/>
      <c r="C71" s="110"/>
      <c r="D71" s="110"/>
      <c r="E71" s="110"/>
      <c r="F71" s="110"/>
      <c r="G71" s="110"/>
      <c r="H71" s="110"/>
      <c r="I71" s="110"/>
      <c r="J71" s="110"/>
      <c r="K71" s="110"/>
      <c r="L71"/>
      <c r="M71"/>
      <c r="N71"/>
      <c r="O71"/>
    </row>
    <row r="72" spans="2:15" ht="13.95" customHeight="1" x14ac:dyDescent="0.3">
      <c r="B72"/>
      <c r="C72" s="110"/>
      <c r="D72" s="110"/>
      <c r="E72" s="110"/>
      <c r="F72" s="110"/>
      <c r="G72" s="110"/>
      <c r="H72" s="110"/>
      <c r="I72" s="110"/>
      <c r="J72" s="110"/>
      <c r="K72" s="110"/>
      <c r="L72"/>
      <c r="M72"/>
      <c r="N72"/>
      <c r="O72"/>
    </row>
    <row r="73" spans="2:15" ht="13.95" customHeight="1" x14ac:dyDescent="0.3">
      <c r="B73"/>
      <c r="C73" s="110"/>
      <c r="D73" s="110"/>
      <c r="E73" s="110"/>
      <c r="F73" s="110"/>
      <c r="G73" s="110"/>
      <c r="H73" s="110"/>
      <c r="I73" s="110"/>
      <c r="J73" s="110"/>
      <c r="K73" s="110"/>
      <c r="L73"/>
      <c r="M73"/>
      <c r="N73"/>
      <c r="O73"/>
    </row>
    <row r="74" spans="2:15" ht="13.95" customHeight="1" x14ac:dyDescent="0.3">
      <c r="B74"/>
      <c r="C74" s="110"/>
      <c r="D74" s="110"/>
      <c r="E74" s="110"/>
      <c r="F74" s="110"/>
      <c r="G74" s="110"/>
      <c r="H74" s="110"/>
      <c r="I74" s="110"/>
      <c r="J74" s="110"/>
      <c r="K74" s="110"/>
      <c r="L74"/>
      <c r="M74"/>
      <c r="N74"/>
      <c r="O74"/>
    </row>
    <row r="75" spans="2:15" ht="13.95" customHeight="1" x14ac:dyDescent="0.3">
      <c r="B75"/>
      <c r="C75" s="110"/>
      <c r="D75" s="110"/>
      <c r="E75" s="110"/>
      <c r="F75" s="110"/>
      <c r="G75" s="110"/>
      <c r="H75" s="110"/>
      <c r="I75" s="110"/>
      <c r="J75" s="110"/>
      <c r="K75" s="110"/>
      <c r="L75"/>
      <c r="M75"/>
      <c r="N75"/>
      <c r="O75"/>
    </row>
    <row r="76" spans="2:15" ht="13.95" customHeight="1" x14ac:dyDescent="0.3">
      <c r="B76"/>
      <c r="C76" s="110"/>
      <c r="D76" s="110"/>
      <c r="E76" s="110"/>
      <c r="F76" s="110"/>
      <c r="G76" s="110"/>
      <c r="H76" s="110"/>
      <c r="I76" s="110"/>
      <c r="J76" s="110"/>
      <c r="K76" s="110"/>
      <c r="L76"/>
      <c r="M76"/>
      <c r="N76"/>
      <c r="O76"/>
    </row>
    <row r="77" spans="2:15" ht="13.95" customHeight="1" x14ac:dyDescent="0.3">
      <c r="B77"/>
      <c r="C77" s="110"/>
      <c r="D77" s="110"/>
      <c r="E77" s="110"/>
      <c r="F77" s="110"/>
      <c r="G77" s="110"/>
      <c r="H77" s="110"/>
      <c r="I77" s="110"/>
      <c r="J77" s="110"/>
      <c r="K77" s="110"/>
      <c r="L77"/>
      <c r="M77"/>
      <c r="N77"/>
      <c r="O77"/>
    </row>
    <row r="78" spans="2:15" ht="13.95" customHeight="1" x14ac:dyDescent="0.3">
      <c r="B78"/>
      <c r="C78" s="110"/>
      <c r="D78" s="110"/>
      <c r="E78" s="110"/>
      <c r="F78" s="110"/>
      <c r="G78" s="110"/>
      <c r="H78" s="110"/>
      <c r="I78" s="110"/>
      <c r="J78" s="110"/>
      <c r="K78" s="110"/>
      <c r="L78"/>
      <c r="M78"/>
      <c r="N78"/>
      <c r="O78"/>
    </row>
    <row r="79" spans="2:15" ht="13.95" customHeight="1" x14ac:dyDescent="0.3">
      <c r="B79"/>
      <c r="C79" s="110"/>
      <c r="D79" s="110"/>
      <c r="E79" s="110"/>
      <c r="F79" s="110"/>
      <c r="G79" s="110"/>
      <c r="H79" s="110"/>
      <c r="I79" s="110"/>
      <c r="J79" s="110"/>
      <c r="K79" s="110"/>
      <c r="L79"/>
      <c r="M79"/>
      <c r="N79"/>
      <c r="O79"/>
    </row>
    <row r="80" spans="2:15" ht="13.95" customHeight="1" x14ac:dyDescent="0.3">
      <c r="B80"/>
      <c r="C80" s="110"/>
      <c r="D80" s="110"/>
      <c r="E80" s="110"/>
      <c r="F80" s="110"/>
      <c r="G80" s="110"/>
      <c r="H80" s="110"/>
      <c r="I80" s="110"/>
      <c r="J80" s="110"/>
      <c r="K80" s="110"/>
      <c r="L80"/>
      <c r="M80"/>
      <c r="N80"/>
      <c r="O80"/>
    </row>
    <row r="81" spans="2:15" ht="13.95" customHeight="1" x14ac:dyDescent="0.3">
      <c r="B81"/>
      <c r="C81" s="110"/>
      <c r="D81" s="110"/>
      <c r="E81" s="110"/>
      <c r="F81" s="110"/>
      <c r="G81" s="110"/>
      <c r="H81" s="110"/>
      <c r="I81" s="110"/>
      <c r="J81" s="110"/>
      <c r="K81" s="110"/>
      <c r="L81"/>
      <c r="M81"/>
      <c r="N81"/>
      <c r="O81"/>
    </row>
    <row r="82" spans="2:15" ht="13.95" customHeight="1" x14ac:dyDescent="0.3">
      <c r="B82"/>
      <c r="C82" s="110"/>
      <c r="D82" s="110"/>
      <c r="E82" s="110"/>
      <c r="F82" s="110"/>
      <c r="G82" s="110"/>
      <c r="H82" s="110"/>
      <c r="I82" s="110"/>
      <c r="J82" s="110"/>
      <c r="K82" s="110"/>
      <c r="L82"/>
      <c r="M82"/>
      <c r="N82"/>
      <c r="O82"/>
    </row>
    <row r="83" spans="2:15" ht="13.95" customHeight="1" x14ac:dyDescent="0.3">
      <c r="B83"/>
      <c r="C83" s="110"/>
      <c r="D83" s="110"/>
      <c r="E83" s="110"/>
      <c r="F83" s="110"/>
      <c r="G83" s="110"/>
      <c r="H83" s="110"/>
      <c r="I83" s="110"/>
      <c r="J83" s="110"/>
      <c r="K83" s="110"/>
      <c r="L83"/>
      <c r="M83"/>
      <c r="N83"/>
      <c r="O83"/>
    </row>
    <row r="84" spans="2:15" ht="13.95" customHeight="1" x14ac:dyDescent="0.3">
      <c r="B84"/>
      <c r="C84" s="110"/>
      <c r="D84" s="110"/>
      <c r="E84" s="110"/>
      <c r="F84" s="110"/>
      <c r="G84" s="110"/>
      <c r="H84" s="110"/>
      <c r="I84" s="110"/>
      <c r="J84" s="110"/>
      <c r="K84" s="110"/>
      <c r="L84"/>
      <c r="M84"/>
      <c r="N84"/>
      <c r="O84"/>
    </row>
    <row r="85" spans="2:15" ht="13.95" customHeight="1" x14ac:dyDescent="0.3">
      <c r="B85"/>
      <c r="C85" s="110"/>
      <c r="D85" s="110"/>
      <c r="E85" s="110"/>
      <c r="F85" s="110"/>
      <c r="G85" s="110"/>
      <c r="H85" s="110"/>
      <c r="I85" s="110"/>
      <c r="J85" s="110"/>
      <c r="K85" s="110"/>
      <c r="L85"/>
      <c r="M85"/>
      <c r="N85"/>
      <c r="O85"/>
    </row>
    <row r="86" spans="2:15" ht="13.95" customHeight="1" x14ac:dyDescent="0.3">
      <c r="B86"/>
      <c r="C86" s="110"/>
      <c r="D86" s="110"/>
      <c r="E86" s="110"/>
      <c r="F86" s="110"/>
      <c r="G86" s="110"/>
      <c r="H86" s="110"/>
      <c r="I86" s="110"/>
      <c r="J86" s="110"/>
      <c r="K86" s="110"/>
      <c r="L86"/>
      <c r="M86"/>
      <c r="N86"/>
      <c r="O86"/>
    </row>
    <row r="87" spans="2:15" ht="13.95" customHeight="1" x14ac:dyDescent="0.3">
      <c r="B87"/>
      <c r="C87" s="110"/>
      <c r="D87" s="110"/>
      <c r="E87" s="110"/>
      <c r="F87" s="110"/>
      <c r="G87" s="110"/>
      <c r="H87" s="110"/>
      <c r="I87" s="110"/>
      <c r="J87" s="110"/>
      <c r="K87" s="110"/>
      <c r="L87"/>
      <c r="M87"/>
      <c r="N87"/>
      <c r="O87"/>
    </row>
    <row r="88" spans="2:15" ht="13.95" customHeight="1" x14ac:dyDescent="0.3">
      <c r="B88"/>
      <c r="C88" s="110"/>
      <c r="D88" s="110"/>
      <c r="E88" s="110"/>
      <c r="F88" s="110"/>
      <c r="G88" s="110"/>
      <c r="H88" s="110"/>
      <c r="I88" s="110"/>
      <c r="J88" s="110"/>
      <c r="K88" s="110"/>
      <c r="L88"/>
      <c r="M88"/>
      <c r="N88"/>
      <c r="O88"/>
    </row>
    <row r="89" spans="2:15" ht="13.95" customHeight="1" x14ac:dyDescent="0.3">
      <c r="B89"/>
      <c r="C89" s="110"/>
      <c r="D89" s="110"/>
      <c r="E89" s="110"/>
      <c r="F89" s="110"/>
      <c r="G89" s="110"/>
      <c r="H89" s="110"/>
      <c r="I89" s="110"/>
      <c r="J89" s="110"/>
      <c r="K89" s="110"/>
      <c r="L89"/>
      <c r="M89"/>
      <c r="N89"/>
      <c r="O89"/>
    </row>
    <row r="90" spans="2:15" ht="13.95" customHeight="1" x14ac:dyDescent="0.3">
      <c r="B90"/>
      <c r="C90" s="110"/>
      <c r="D90" s="110"/>
      <c r="E90" s="110"/>
      <c r="F90" s="110"/>
      <c r="G90" s="110"/>
      <c r="H90" s="110"/>
      <c r="I90" s="110"/>
      <c r="J90" s="110"/>
      <c r="K90" s="110"/>
      <c r="L90"/>
      <c r="M90"/>
      <c r="N90"/>
      <c r="O90"/>
    </row>
    <row r="91" spans="2:15" ht="13.95" customHeight="1" x14ac:dyDescent="0.3">
      <c r="B91"/>
      <c r="C91" s="110"/>
      <c r="D91" s="110"/>
      <c r="E91" s="110"/>
      <c r="F91" s="110"/>
      <c r="G91" s="110"/>
      <c r="H91" s="110"/>
      <c r="I91" s="110"/>
      <c r="J91" s="110"/>
      <c r="K91" s="110"/>
      <c r="L91"/>
      <c r="M91"/>
      <c r="N91"/>
      <c r="O91"/>
    </row>
    <row r="92" spans="2:15" ht="13.95" customHeight="1" x14ac:dyDescent="0.3">
      <c r="B92"/>
      <c r="C92" s="110"/>
      <c r="D92" s="110"/>
      <c r="E92" s="110"/>
      <c r="F92" s="110"/>
      <c r="G92" s="110"/>
      <c r="H92" s="110"/>
      <c r="I92" s="110"/>
      <c r="J92" s="110"/>
      <c r="K92" s="110"/>
      <c r="L92"/>
      <c r="M92"/>
      <c r="N92"/>
      <c r="O92"/>
    </row>
    <row r="93" spans="2:15" ht="13.95" customHeight="1" x14ac:dyDescent="0.3">
      <c r="B93"/>
      <c r="C93" s="110"/>
      <c r="D93" s="110"/>
      <c r="E93" s="110"/>
      <c r="F93" s="110"/>
      <c r="G93" s="110"/>
      <c r="H93" s="110"/>
      <c r="I93" s="110"/>
      <c r="J93" s="110"/>
      <c r="K93" s="110"/>
      <c r="L93"/>
      <c r="M93"/>
      <c r="N93"/>
      <c r="O93"/>
    </row>
    <row r="94" spans="2:15" ht="13.95" customHeight="1" x14ac:dyDescent="0.3">
      <c r="B94"/>
      <c r="C94" s="110"/>
      <c r="D94" s="110"/>
      <c r="E94" s="110"/>
      <c r="F94" s="110"/>
      <c r="G94" s="110"/>
      <c r="H94" s="110"/>
      <c r="I94" s="110"/>
      <c r="J94" s="110"/>
      <c r="K94" s="110"/>
      <c r="L94"/>
      <c r="M94"/>
      <c r="N94"/>
      <c r="O94"/>
    </row>
    <row r="95" spans="2:15" ht="13.95" customHeight="1" x14ac:dyDescent="0.3">
      <c r="B95"/>
      <c r="C95" s="110"/>
      <c r="D95" s="110"/>
      <c r="E95" s="110"/>
      <c r="F95" s="110"/>
      <c r="G95" s="110"/>
      <c r="H95" s="110"/>
      <c r="I95" s="110"/>
      <c r="J95" s="110"/>
      <c r="K95" s="110"/>
      <c r="L95"/>
      <c r="M95"/>
      <c r="N95"/>
      <c r="O95"/>
    </row>
    <row r="96" spans="2:15" ht="13.95" customHeight="1" x14ac:dyDescent="0.3">
      <c r="B96"/>
      <c r="C96" s="110"/>
      <c r="D96" s="110"/>
      <c r="E96" s="110"/>
      <c r="F96" s="110"/>
      <c r="G96" s="110"/>
      <c r="H96" s="110"/>
      <c r="I96" s="110"/>
      <c r="J96" s="110"/>
      <c r="K96" s="110"/>
      <c r="L96"/>
      <c r="M96"/>
      <c r="N96"/>
      <c r="O96"/>
    </row>
    <row r="97" spans="2:15" ht="13.95" customHeight="1" x14ac:dyDescent="0.3">
      <c r="B97"/>
      <c r="C97" s="110"/>
      <c r="D97" s="110"/>
      <c r="E97" s="110"/>
      <c r="F97" s="110"/>
      <c r="G97" s="110"/>
      <c r="H97" s="110"/>
      <c r="I97" s="110"/>
      <c r="J97" s="110"/>
      <c r="K97" s="110"/>
      <c r="L97"/>
      <c r="M97"/>
      <c r="N97"/>
      <c r="O97"/>
    </row>
    <row r="98" spans="2:15" ht="13.95" customHeight="1" x14ac:dyDescent="0.3">
      <c r="B98"/>
      <c r="C98" s="110"/>
      <c r="D98" s="110"/>
      <c r="E98" s="110"/>
      <c r="F98" s="110"/>
      <c r="G98" s="110"/>
      <c r="H98" s="110"/>
      <c r="I98" s="110"/>
      <c r="J98" s="110"/>
      <c r="K98" s="110"/>
      <c r="L98"/>
      <c r="M98"/>
      <c r="N98"/>
      <c r="O98"/>
    </row>
    <row r="99" spans="2:15" ht="13.95" customHeight="1" x14ac:dyDescent="0.3">
      <c r="B99"/>
      <c r="C99" s="110"/>
      <c r="D99" s="110"/>
      <c r="E99" s="110"/>
      <c r="F99" s="110"/>
      <c r="G99" s="110"/>
      <c r="H99" s="110"/>
      <c r="I99" s="110"/>
      <c r="J99" s="110"/>
      <c r="K99" s="110"/>
      <c r="L99"/>
      <c r="M99"/>
      <c r="N99"/>
      <c r="O99"/>
    </row>
    <row r="100" spans="2:15" ht="13.95" customHeight="1" x14ac:dyDescent="0.3">
      <c r="B100"/>
      <c r="C100" s="110"/>
      <c r="D100" s="110"/>
      <c r="E100" s="110"/>
      <c r="F100" s="110"/>
      <c r="G100" s="110"/>
      <c r="H100" s="110"/>
      <c r="I100" s="110"/>
      <c r="J100" s="110"/>
      <c r="K100" s="110"/>
      <c r="L100"/>
      <c r="M100"/>
      <c r="N100"/>
      <c r="O100"/>
    </row>
    <row r="101" spans="2:15" ht="13.95" customHeight="1" x14ac:dyDescent="0.3">
      <c r="B101"/>
      <c r="C101" s="110"/>
      <c r="D101" s="110"/>
      <c r="E101" s="110"/>
      <c r="F101" s="110"/>
      <c r="G101" s="110"/>
      <c r="H101" s="110"/>
      <c r="I101" s="110"/>
      <c r="J101" s="110"/>
      <c r="K101" s="110"/>
      <c r="L101"/>
      <c r="M101"/>
      <c r="N101"/>
      <c r="O101"/>
    </row>
    <row r="102" spans="2:15" ht="13.95" customHeight="1" x14ac:dyDescent="0.3">
      <c r="B102"/>
      <c r="C102" s="110"/>
      <c r="D102" s="110"/>
      <c r="E102" s="110"/>
      <c r="F102" s="110"/>
      <c r="G102" s="110"/>
      <c r="H102" s="110"/>
      <c r="I102" s="110"/>
      <c r="J102" s="110"/>
      <c r="K102" s="110"/>
      <c r="L102"/>
      <c r="M102"/>
      <c r="N102"/>
      <c r="O102"/>
    </row>
    <row r="103" spans="2:15" ht="13.95" customHeight="1" x14ac:dyDescent="0.3">
      <c r="B103"/>
      <c r="C103" s="110"/>
      <c r="D103" s="110"/>
      <c r="E103" s="110"/>
      <c r="F103" s="110"/>
      <c r="G103" s="110"/>
      <c r="H103" s="110"/>
      <c r="I103" s="110"/>
      <c r="J103" s="110"/>
      <c r="K103" s="110"/>
      <c r="L103"/>
      <c r="M103"/>
      <c r="N103"/>
      <c r="O103"/>
    </row>
    <row r="104" spans="2:15" ht="13.95" customHeight="1" x14ac:dyDescent="0.3">
      <c r="B104"/>
      <c r="C104" s="110"/>
      <c r="D104" s="110"/>
      <c r="E104" s="110"/>
      <c r="F104" s="110"/>
      <c r="G104" s="110"/>
      <c r="H104" s="110"/>
      <c r="I104" s="110"/>
      <c r="J104" s="110"/>
      <c r="K104" s="110"/>
      <c r="L104"/>
      <c r="M104"/>
      <c r="N104"/>
      <c r="O104"/>
    </row>
    <row r="105" spans="2:15" ht="13.95" customHeight="1" x14ac:dyDescent="0.3">
      <c r="B105"/>
      <c r="C105" s="110"/>
      <c r="D105" s="110"/>
      <c r="E105" s="110"/>
      <c r="F105" s="110"/>
      <c r="G105" s="110"/>
      <c r="H105" s="110"/>
      <c r="I105" s="110"/>
      <c r="J105" s="110"/>
      <c r="K105" s="110"/>
      <c r="L105"/>
      <c r="M105"/>
      <c r="N105"/>
      <c r="O105"/>
    </row>
    <row r="106" spans="2:15" ht="13.95" customHeight="1" x14ac:dyDescent="0.3">
      <c r="B106"/>
      <c r="C106" s="110"/>
      <c r="D106" s="110"/>
      <c r="E106" s="110"/>
      <c r="F106" s="110"/>
      <c r="G106" s="110"/>
      <c r="H106" s="110"/>
      <c r="I106" s="110"/>
      <c r="J106" s="110"/>
      <c r="K106" s="110"/>
      <c r="L106"/>
      <c r="M106"/>
      <c r="N106"/>
      <c r="O106"/>
    </row>
    <row r="107" spans="2:15" ht="13.95" customHeight="1" x14ac:dyDescent="0.3">
      <c r="B107"/>
      <c r="C107" s="110"/>
      <c r="D107" s="110"/>
      <c r="E107" s="110"/>
      <c r="F107" s="110"/>
      <c r="G107" s="110"/>
      <c r="H107" s="110"/>
      <c r="I107" s="110"/>
      <c r="J107" s="110"/>
      <c r="K107" s="110"/>
      <c r="L107"/>
      <c r="M107"/>
      <c r="N107"/>
      <c r="O107"/>
    </row>
    <row r="108" spans="2:15" ht="13.95" customHeight="1" x14ac:dyDescent="0.3">
      <c r="B108"/>
      <c r="C108" s="110"/>
      <c r="D108" s="110"/>
      <c r="E108" s="110"/>
      <c r="F108" s="110"/>
      <c r="G108" s="110"/>
      <c r="H108" s="110"/>
      <c r="I108" s="110"/>
      <c r="J108" s="110"/>
      <c r="K108" s="110"/>
      <c r="L108"/>
      <c r="M108"/>
      <c r="N108"/>
      <c r="O108"/>
    </row>
    <row r="109" spans="2:15" ht="13.95" customHeight="1" x14ac:dyDescent="0.3">
      <c r="B109"/>
      <c r="C109" s="110"/>
      <c r="D109" s="110"/>
      <c r="E109" s="110"/>
      <c r="F109" s="110"/>
      <c r="G109" s="110"/>
      <c r="H109" s="110"/>
      <c r="I109" s="110"/>
      <c r="J109" s="110"/>
      <c r="K109" s="110"/>
      <c r="L109"/>
      <c r="M109"/>
      <c r="N109"/>
      <c r="O109"/>
    </row>
    <row r="110" spans="2:15" ht="13.95" customHeight="1" x14ac:dyDescent="0.3">
      <c r="B110"/>
      <c r="C110" s="110"/>
      <c r="D110" s="110"/>
      <c r="E110" s="110"/>
      <c r="F110" s="110"/>
      <c r="G110" s="110"/>
      <c r="H110" s="110"/>
      <c r="I110" s="110"/>
      <c r="J110" s="110"/>
      <c r="K110" s="110"/>
      <c r="L110"/>
      <c r="M110"/>
      <c r="N110"/>
      <c r="O110"/>
    </row>
    <row r="111" spans="2:15" ht="13.95" customHeight="1" x14ac:dyDescent="0.3">
      <c r="B111"/>
      <c r="C111" s="110"/>
      <c r="D111" s="110"/>
      <c r="E111" s="110"/>
      <c r="F111" s="110"/>
      <c r="G111" s="110"/>
      <c r="H111" s="110"/>
      <c r="I111" s="110"/>
      <c r="J111" s="110"/>
      <c r="K111" s="110"/>
      <c r="L111"/>
      <c r="M111"/>
      <c r="N111"/>
      <c r="O111"/>
    </row>
    <row r="112" spans="2:15" ht="13.95" customHeight="1" x14ac:dyDescent="0.3">
      <c r="B112"/>
      <c r="C112" s="110"/>
      <c r="D112" s="110"/>
      <c r="E112" s="110"/>
      <c r="F112" s="110"/>
      <c r="G112" s="110"/>
      <c r="H112" s="110"/>
      <c r="I112" s="110"/>
      <c r="J112" s="110"/>
      <c r="K112" s="110"/>
      <c r="L112"/>
      <c r="M112"/>
      <c r="N112"/>
      <c r="O112"/>
    </row>
    <row r="113" spans="2:15" ht="13.95" customHeight="1" x14ac:dyDescent="0.3">
      <c r="B113"/>
      <c r="C113" s="110"/>
      <c r="D113" s="110"/>
      <c r="E113" s="110"/>
      <c r="F113" s="110"/>
      <c r="G113" s="110"/>
      <c r="H113" s="110"/>
      <c r="I113" s="110"/>
      <c r="J113" s="110"/>
      <c r="K113" s="110"/>
      <c r="L113"/>
      <c r="M113"/>
      <c r="N113"/>
      <c r="O113"/>
    </row>
    <row r="114" spans="2:15" ht="13.95" customHeight="1" x14ac:dyDescent="0.3">
      <c r="B114"/>
      <c r="C114" s="110"/>
      <c r="D114" s="110"/>
      <c r="E114" s="110"/>
      <c r="F114" s="110"/>
      <c r="G114" s="110"/>
      <c r="H114" s="110"/>
      <c r="I114" s="110"/>
      <c r="J114" s="110"/>
      <c r="K114" s="110"/>
      <c r="L114"/>
      <c r="M114"/>
      <c r="N114"/>
      <c r="O114"/>
    </row>
    <row r="115" spans="2:15" ht="13.95" customHeight="1" x14ac:dyDescent="0.3">
      <c r="B115"/>
      <c r="C115" s="110"/>
      <c r="D115" s="110"/>
      <c r="E115" s="110"/>
      <c r="F115" s="110"/>
      <c r="G115" s="110"/>
      <c r="H115" s="110"/>
      <c r="I115" s="110"/>
      <c r="J115" s="110"/>
      <c r="K115" s="110"/>
      <c r="L115"/>
      <c r="M115"/>
      <c r="N115"/>
      <c r="O115"/>
    </row>
    <row r="116" spans="2:15" ht="13.95" customHeight="1" x14ac:dyDescent="0.3">
      <c r="B116"/>
      <c r="C116" s="110"/>
      <c r="D116" s="110"/>
      <c r="E116" s="110"/>
      <c r="F116" s="110"/>
      <c r="G116" s="110"/>
      <c r="H116" s="110"/>
      <c r="I116" s="110"/>
      <c r="J116" s="110"/>
      <c r="K116" s="110"/>
      <c r="L116"/>
      <c r="M116"/>
      <c r="N116"/>
      <c r="O116"/>
    </row>
    <row r="117" spans="2:15" ht="13.95" customHeight="1" x14ac:dyDescent="0.3">
      <c r="B117"/>
      <c r="C117" s="110"/>
      <c r="D117" s="110"/>
      <c r="E117" s="110"/>
      <c r="F117" s="110"/>
      <c r="G117" s="110"/>
      <c r="H117" s="110"/>
      <c r="I117" s="110"/>
      <c r="J117" s="110"/>
      <c r="K117" s="110"/>
      <c r="L117"/>
      <c r="M117"/>
      <c r="N117"/>
      <c r="O117"/>
    </row>
    <row r="118" spans="2:15" ht="13.95" customHeight="1" x14ac:dyDescent="0.3">
      <c r="B118"/>
      <c r="C118" s="110"/>
      <c r="D118" s="110"/>
      <c r="E118" s="110"/>
      <c r="F118" s="110"/>
      <c r="G118" s="110"/>
      <c r="H118" s="110"/>
      <c r="I118" s="110"/>
      <c r="J118" s="110"/>
      <c r="K118" s="110"/>
      <c r="L118"/>
      <c r="M118"/>
      <c r="N118"/>
      <c r="O118"/>
    </row>
    <row r="119" spans="2:15" ht="13.95" customHeight="1" x14ac:dyDescent="0.3">
      <c r="B119"/>
      <c r="C119" s="110"/>
      <c r="D119" s="110"/>
      <c r="E119" s="110"/>
      <c r="F119" s="110"/>
      <c r="G119" s="110"/>
      <c r="H119" s="110"/>
      <c r="I119" s="110"/>
      <c r="J119" s="110"/>
      <c r="K119" s="110"/>
      <c r="L119"/>
      <c r="M119"/>
      <c r="N119"/>
      <c r="O119"/>
    </row>
    <row r="120" spans="2:15" ht="13.95" customHeight="1" x14ac:dyDescent="0.3">
      <c r="B120"/>
      <c r="C120" s="110"/>
      <c r="D120" s="110"/>
      <c r="E120" s="110"/>
      <c r="F120" s="110"/>
      <c r="G120" s="110"/>
      <c r="H120" s="110"/>
      <c r="I120" s="110"/>
      <c r="J120" s="110"/>
      <c r="K120" s="110"/>
      <c r="L120"/>
      <c r="M120"/>
      <c r="N120"/>
      <c r="O120"/>
    </row>
    <row r="121" spans="2:15" ht="13.95" customHeight="1" x14ac:dyDescent="0.3">
      <c r="B121"/>
      <c r="C121" s="110"/>
      <c r="D121" s="110"/>
      <c r="E121" s="110"/>
      <c r="F121" s="110"/>
      <c r="G121" s="110"/>
      <c r="H121" s="110"/>
      <c r="I121" s="110"/>
      <c r="J121" s="110"/>
      <c r="K121" s="110"/>
      <c r="L121"/>
      <c r="M121"/>
      <c r="N121"/>
      <c r="O121"/>
    </row>
    <row r="122" spans="2:15" ht="13.95" customHeight="1" x14ac:dyDescent="0.3">
      <c r="B122"/>
      <c r="C122" s="110"/>
      <c r="D122" s="110"/>
      <c r="E122" s="110"/>
      <c r="F122" s="110"/>
      <c r="G122" s="110"/>
      <c r="H122" s="110"/>
      <c r="I122" s="110"/>
      <c r="J122" s="110"/>
      <c r="K122" s="110"/>
      <c r="L122"/>
      <c r="M122"/>
      <c r="N122"/>
      <c r="O122"/>
    </row>
    <row r="123" spans="2:15" ht="13.95" customHeight="1" x14ac:dyDescent="0.3">
      <c r="B123"/>
      <c r="C123" s="110"/>
      <c r="D123" s="110"/>
      <c r="E123" s="110"/>
      <c r="F123" s="110"/>
      <c r="G123" s="110"/>
      <c r="H123" s="110"/>
      <c r="I123" s="110"/>
      <c r="J123" s="110"/>
      <c r="K123" s="110"/>
      <c r="L123"/>
      <c r="M123"/>
      <c r="N123"/>
      <c r="O123"/>
    </row>
    <row r="124" spans="2:15" ht="13.95" customHeight="1" x14ac:dyDescent="0.3">
      <c r="B124"/>
      <c r="C124" s="110"/>
      <c r="D124" s="110"/>
      <c r="E124" s="110"/>
      <c r="F124" s="110"/>
      <c r="G124" s="110"/>
      <c r="H124" s="110"/>
      <c r="I124" s="110"/>
      <c r="J124" s="110"/>
      <c r="K124" s="110"/>
      <c r="L124"/>
      <c r="M124"/>
      <c r="N124"/>
      <c r="O124"/>
    </row>
    <row r="125" spans="2:15" ht="13.95" customHeight="1" x14ac:dyDescent="0.3">
      <c r="B125"/>
      <c r="C125" s="110"/>
      <c r="D125" s="110"/>
      <c r="E125" s="110"/>
      <c r="F125" s="110"/>
      <c r="G125" s="110"/>
      <c r="H125" s="110"/>
      <c r="I125" s="110"/>
      <c r="J125" s="110"/>
      <c r="K125" s="110"/>
      <c r="L125"/>
      <c r="M125"/>
      <c r="N125"/>
      <c r="O125"/>
    </row>
    <row r="126" spans="2:15" ht="13.95" customHeight="1" x14ac:dyDescent="0.3">
      <c r="B126"/>
      <c r="C126" s="110"/>
      <c r="D126" s="110"/>
      <c r="E126" s="110"/>
      <c r="F126" s="110"/>
      <c r="G126" s="110"/>
      <c r="H126" s="110"/>
      <c r="I126" s="110"/>
      <c r="J126" s="110"/>
      <c r="K126" s="110"/>
      <c r="L126"/>
      <c r="M126"/>
      <c r="N126"/>
      <c r="O126"/>
    </row>
    <row r="127" spans="2:15" ht="13.95" customHeight="1" x14ac:dyDescent="0.3">
      <c r="B127"/>
      <c r="C127" s="110"/>
      <c r="D127" s="110"/>
      <c r="E127" s="110"/>
      <c r="F127" s="110"/>
      <c r="G127" s="110"/>
      <c r="H127" s="110"/>
      <c r="I127" s="110"/>
      <c r="J127" s="110"/>
      <c r="K127" s="110"/>
      <c r="L127"/>
      <c r="M127"/>
      <c r="N127"/>
      <c r="O127"/>
    </row>
    <row r="128" spans="2:15" ht="13.95" customHeight="1" x14ac:dyDescent="0.3">
      <c r="B128"/>
      <c r="C128" s="110"/>
      <c r="D128" s="110"/>
      <c r="E128" s="110"/>
      <c r="F128" s="110"/>
      <c r="G128" s="110"/>
      <c r="H128" s="110"/>
      <c r="I128" s="110"/>
      <c r="J128" s="110"/>
      <c r="K128" s="110"/>
      <c r="L128"/>
      <c r="M128"/>
      <c r="N128"/>
      <c r="O128"/>
    </row>
    <row r="129" spans="2:15" ht="13.95" customHeight="1" x14ac:dyDescent="0.3">
      <c r="B129"/>
      <c r="C129" s="110"/>
      <c r="D129" s="110"/>
      <c r="E129" s="110"/>
      <c r="F129" s="110"/>
      <c r="G129" s="110"/>
      <c r="H129" s="110"/>
      <c r="I129" s="110"/>
      <c r="J129" s="110"/>
      <c r="K129" s="110"/>
      <c r="L129"/>
      <c r="M129"/>
      <c r="N129"/>
      <c r="O129"/>
    </row>
    <row r="130" spans="2:15" ht="13.95" customHeight="1" x14ac:dyDescent="0.3">
      <c r="B130"/>
      <c r="C130" s="110"/>
      <c r="D130" s="110"/>
      <c r="E130" s="110"/>
      <c r="F130" s="110"/>
      <c r="G130" s="110"/>
      <c r="H130" s="110"/>
      <c r="I130" s="110"/>
      <c r="J130" s="110"/>
      <c r="K130" s="110"/>
      <c r="L130"/>
      <c r="M130"/>
      <c r="N130"/>
      <c r="O130"/>
    </row>
    <row r="131" spans="2:15" ht="13.95" customHeight="1" x14ac:dyDescent="0.3">
      <c r="B131"/>
      <c r="C131" s="110"/>
      <c r="D131" s="110"/>
      <c r="E131" s="110"/>
      <c r="F131" s="110"/>
      <c r="G131" s="110"/>
      <c r="H131" s="110"/>
      <c r="I131" s="110"/>
      <c r="J131" s="110"/>
      <c r="K131" s="110"/>
      <c r="L131"/>
      <c r="M131"/>
      <c r="N131"/>
      <c r="O131"/>
    </row>
    <row r="132" spans="2:15" ht="13.95" customHeight="1" x14ac:dyDescent="0.3">
      <c r="B132"/>
      <c r="C132" s="110"/>
      <c r="D132" s="110"/>
      <c r="E132" s="110"/>
      <c r="F132" s="110"/>
      <c r="G132" s="110"/>
      <c r="H132" s="110"/>
      <c r="I132" s="110"/>
      <c r="J132" s="110"/>
      <c r="K132" s="110"/>
      <c r="L132"/>
      <c r="M132"/>
      <c r="N132"/>
      <c r="O132"/>
    </row>
    <row r="133" spans="2:15" ht="13.95" customHeight="1" x14ac:dyDescent="0.3">
      <c r="B133"/>
      <c r="C133" s="110"/>
      <c r="D133" s="110"/>
      <c r="E133" s="110"/>
      <c r="F133" s="110"/>
      <c r="G133" s="110"/>
      <c r="H133" s="110"/>
      <c r="I133" s="110"/>
      <c r="J133" s="110"/>
      <c r="K133" s="110"/>
      <c r="L133"/>
      <c r="M133"/>
      <c r="N133"/>
      <c r="O133"/>
    </row>
    <row r="134" spans="2:15" ht="13.95" customHeight="1" x14ac:dyDescent="0.3">
      <c r="B134"/>
      <c r="C134" s="110"/>
      <c r="D134" s="110"/>
      <c r="E134" s="110"/>
      <c r="F134" s="110"/>
      <c r="G134" s="110"/>
      <c r="H134" s="110"/>
      <c r="I134" s="110"/>
      <c r="J134" s="110"/>
      <c r="K134" s="110"/>
      <c r="L134"/>
      <c r="M134"/>
      <c r="N134"/>
      <c r="O134"/>
    </row>
    <row r="135" spans="2:15" ht="13.95" customHeight="1" x14ac:dyDescent="0.3">
      <c r="B135"/>
      <c r="C135" s="110"/>
      <c r="D135" s="110"/>
      <c r="E135" s="110"/>
      <c r="F135" s="110"/>
      <c r="G135" s="110"/>
      <c r="H135" s="110"/>
      <c r="I135" s="110"/>
      <c r="J135" s="110"/>
      <c r="K135" s="110"/>
      <c r="L135"/>
      <c r="M135"/>
      <c r="N135"/>
      <c r="O135"/>
    </row>
    <row r="136" spans="2:15" ht="13.95" customHeight="1" x14ac:dyDescent="0.3">
      <c r="B136"/>
      <c r="C136" s="110"/>
      <c r="D136" s="110"/>
      <c r="E136" s="110"/>
      <c r="F136" s="110"/>
      <c r="G136" s="110"/>
      <c r="H136" s="110"/>
      <c r="I136" s="110"/>
      <c r="J136" s="110"/>
      <c r="K136" s="110"/>
      <c r="L136"/>
      <c r="M136"/>
      <c r="N136"/>
      <c r="O136"/>
    </row>
    <row r="137" spans="2:15" ht="13.95" customHeight="1" x14ac:dyDescent="0.3">
      <c r="B137"/>
      <c r="C137" s="110"/>
      <c r="D137" s="110"/>
      <c r="E137" s="110"/>
      <c r="F137" s="110"/>
      <c r="G137" s="110"/>
      <c r="H137" s="110"/>
      <c r="I137" s="110"/>
      <c r="J137" s="110"/>
      <c r="K137" s="110"/>
      <c r="L137"/>
      <c r="M137"/>
      <c r="N137"/>
      <c r="O137"/>
    </row>
    <row r="138" spans="2:15" ht="13.95" customHeight="1" x14ac:dyDescent="0.3">
      <c r="B138"/>
      <c r="C138" s="110"/>
      <c r="D138" s="110"/>
      <c r="E138" s="110"/>
      <c r="F138" s="110"/>
      <c r="G138" s="110"/>
      <c r="H138" s="110"/>
      <c r="I138" s="110"/>
      <c r="J138" s="110"/>
      <c r="K138" s="110"/>
      <c r="L138"/>
      <c r="M138"/>
      <c r="N138"/>
      <c r="O138"/>
    </row>
    <row r="139" spans="2:15" ht="13.95" customHeight="1" x14ac:dyDescent="0.3">
      <c r="B139"/>
      <c r="C139" s="110"/>
      <c r="D139" s="110"/>
      <c r="E139" s="110"/>
      <c r="F139" s="110"/>
      <c r="G139" s="110"/>
      <c r="H139" s="110"/>
      <c r="I139" s="110"/>
      <c r="J139" s="110"/>
      <c r="K139" s="110"/>
      <c r="L139"/>
      <c r="M139"/>
      <c r="N139"/>
      <c r="O139"/>
    </row>
    <row r="140" spans="2:15" ht="13.95" customHeight="1" x14ac:dyDescent="0.3">
      <c r="B140"/>
      <c r="C140" s="110"/>
      <c r="D140" s="110"/>
      <c r="E140" s="110"/>
      <c r="F140" s="110"/>
      <c r="G140" s="110"/>
      <c r="H140" s="110"/>
      <c r="I140" s="110"/>
      <c r="J140" s="110"/>
      <c r="K140" s="110"/>
      <c r="L140"/>
      <c r="M140"/>
      <c r="N140"/>
      <c r="O140"/>
    </row>
    <row r="141" spans="2:15" ht="13.95" customHeight="1" x14ac:dyDescent="0.3">
      <c r="B141"/>
      <c r="C141" s="110"/>
      <c r="D141" s="110"/>
      <c r="E141" s="110"/>
      <c r="F141" s="110"/>
      <c r="G141" s="110"/>
      <c r="H141" s="110"/>
      <c r="I141" s="110"/>
      <c r="J141" s="110"/>
      <c r="K141" s="110"/>
      <c r="L141"/>
      <c r="M141"/>
      <c r="N141"/>
      <c r="O141"/>
    </row>
    <row r="142" spans="2:15" ht="13.95" customHeight="1" x14ac:dyDescent="0.3">
      <c r="B142"/>
      <c r="C142" s="110"/>
      <c r="D142" s="110"/>
      <c r="E142" s="110"/>
      <c r="F142" s="110"/>
      <c r="G142" s="110"/>
      <c r="H142" s="110"/>
      <c r="I142" s="110"/>
      <c r="J142" s="110"/>
      <c r="K142" s="110"/>
      <c r="L142"/>
      <c r="M142"/>
      <c r="N142"/>
      <c r="O142"/>
    </row>
    <row r="143" spans="2:15" ht="13.95" customHeight="1" x14ac:dyDescent="0.3">
      <c r="B143"/>
      <c r="C143" s="110"/>
      <c r="D143" s="110"/>
      <c r="E143" s="110"/>
      <c r="F143" s="110"/>
      <c r="G143" s="110"/>
      <c r="H143" s="110"/>
      <c r="I143" s="110"/>
      <c r="J143" s="110"/>
      <c r="K143" s="110"/>
      <c r="L143"/>
      <c r="M143"/>
      <c r="N143"/>
      <c r="O143"/>
    </row>
    <row r="144" spans="2:15" ht="13.95" customHeight="1" x14ac:dyDescent="0.3">
      <c r="B144"/>
      <c r="C144" s="110"/>
      <c r="D144" s="110"/>
      <c r="E144" s="110"/>
      <c r="F144" s="110"/>
      <c r="G144" s="110"/>
      <c r="H144" s="110"/>
      <c r="I144" s="110"/>
      <c r="J144" s="110"/>
      <c r="K144" s="110"/>
      <c r="L144"/>
      <c r="M144"/>
      <c r="N144"/>
      <c r="O144"/>
    </row>
  </sheetData>
  <conditionalFormatting pivot="1" sqref="C6:O19">
    <cfRule type="colorScale" priority="1">
      <colorScale>
        <cfvo type="num" val="10"/>
        <cfvo type="num" val="20"/>
        <color theme="0"/>
        <color rgb="FFFF0000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2"/>
  <headerFooter differentFirst="1">
    <oddFooter>&amp;LG05002   R02&amp;R&amp;P / &amp;N&amp;C&amp;"verdana,Regular"&amp;8Kurum İçi | Internal \  Kişisel Veri İçermez | Contains No Personal Data</oddFooter>
    <firstFooter>&amp;LG05002   R02&amp;CHizmete Özel&amp;R&amp;P / &amp;N</first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manualMax="100" manualMin="0" type="column" displayEmptyCellsAs="gap" minAxisType="group" maxAxisType="custom" xr2:uid="{00000000-0003-0000-0E00-000046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%'!C6:N6</xm:f>
              <xm:sqref>P6</xm:sqref>
            </x14:sparkline>
          </x14:sparklines>
        </x14:sparklineGroup>
        <x14:sparklineGroup manualMax="100" manualMin="0" type="column" displayEmptyCellsAs="gap" minAxisType="group" maxAxisType="custom" xr2:uid="{00000000-0003-0000-0E00-000047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%'!C7:N7</xm:f>
              <xm:sqref>P7</xm:sqref>
            </x14:sparkline>
          </x14:sparklines>
        </x14:sparklineGroup>
        <x14:sparklineGroup manualMax="100" manualMin="0" type="column" displayEmptyCellsAs="gap" minAxisType="group" maxAxisType="custom" xr2:uid="{00000000-0003-0000-0E00-000048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%'!C18:N18</xm:f>
              <xm:sqref>P18</xm:sqref>
            </x14:sparkline>
          </x14:sparklines>
        </x14:sparklineGroup>
        <x14:sparklineGroup manualMax="100" manualMin="0" type="column" displayEmptyCellsAs="gap" maxAxisType="custom" xr2:uid="{00000000-0003-0000-0E00-000049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%'!C5:N5</xm:f>
              <xm:sqref>P5</xm:sqref>
            </x14:sparkline>
          </x14:sparklines>
        </x14:sparklineGroup>
        <x14:sparklineGroup manualMax="100" manualMin="0" type="column" displayEmptyCellsAs="gap" minAxisType="group" maxAxisType="custom" xr2:uid="{00000000-0003-0000-0E00-00004A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%'!C8:N8</xm:f>
              <xm:sqref>P8</xm:sqref>
            </x14:sparkline>
          </x14:sparklines>
        </x14:sparklineGroup>
        <x14:sparklineGroup manualMax="100" manualMin="0" type="column" displayEmptyCellsAs="gap" minAxisType="group" maxAxisType="custom" xr2:uid="{00000000-0003-0000-0E00-00004B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%'!C9:N9</xm:f>
              <xm:sqref>P9</xm:sqref>
            </x14:sparkline>
          </x14:sparklines>
        </x14:sparklineGroup>
        <x14:sparklineGroup manualMax="100" manualMin="0" type="column" displayEmptyCellsAs="gap" minAxisType="group" maxAxisType="custom" xr2:uid="{00000000-0003-0000-0E00-00004C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%'!C10:N10</xm:f>
              <xm:sqref>P10</xm:sqref>
            </x14:sparkline>
          </x14:sparklines>
        </x14:sparklineGroup>
        <x14:sparklineGroup manualMax="100" manualMin="0" type="column" displayEmptyCellsAs="gap" minAxisType="group" maxAxisType="custom" xr2:uid="{00000000-0003-0000-0E00-00004D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%'!C11:N11</xm:f>
              <xm:sqref>P11</xm:sqref>
            </x14:sparkline>
          </x14:sparklines>
        </x14:sparklineGroup>
        <x14:sparklineGroup manualMax="100" manualMin="0" type="column" displayEmptyCellsAs="gap" minAxisType="group" maxAxisType="custom" xr2:uid="{00000000-0003-0000-0E00-00004E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%'!C12:N12</xm:f>
              <xm:sqref>P12</xm:sqref>
            </x14:sparkline>
          </x14:sparklines>
        </x14:sparklineGroup>
        <x14:sparklineGroup manualMax="100" manualMin="0" type="column" displayEmptyCellsAs="gap" minAxisType="group" maxAxisType="custom" xr2:uid="{00000000-0003-0000-0E00-00004F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%'!C13:N13</xm:f>
              <xm:sqref>P13</xm:sqref>
            </x14:sparkline>
          </x14:sparklines>
        </x14:sparklineGroup>
        <x14:sparklineGroup manualMax="100" manualMin="0" type="column" displayEmptyCellsAs="gap" minAxisType="group" maxAxisType="custom" xr2:uid="{00000000-0003-0000-0E00-00005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%'!C14:N14</xm:f>
              <xm:sqref>P14</xm:sqref>
            </x14:sparkline>
          </x14:sparklines>
        </x14:sparklineGroup>
        <x14:sparklineGroup manualMax="100" manualMin="0" type="column" displayEmptyCellsAs="gap" minAxisType="group" maxAxisType="custom" xr2:uid="{00000000-0003-0000-0E00-000051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%'!C15:N15</xm:f>
              <xm:sqref>P15</xm:sqref>
            </x14:sparkline>
          </x14:sparklines>
        </x14:sparklineGroup>
        <x14:sparklineGroup manualMax="100" manualMin="0" type="column" displayEmptyCellsAs="gap" minAxisType="group" maxAxisType="custom" xr2:uid="{00000000-0003-0000-0E00-000052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%'!C16:N16</xm:f>
              <xm:sqref>P16</xm:sqref>
            </x14:sparkline>
          </x14:sparklines>
        </x14:sparklineGroup>
        <x14:sparklineGroup manualMax="100" manualMin="0" type="column" displayEmptyCellsAs="gap" minAxisType="group" maxAxisType="custom" xr2:uid="{00000000-0003-0000-0E00-000053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'Fazla Mesai %'!C17:N17</xm:f>
              <xm:sqref>P17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ayfa16">
    <tabColor rgb="FFFFFF00"/>
  </sheetPr>
  <dimension ref="A1:P19"/>
  <sheetViews>
    <sheetView workbookViewId="0">
      <selection activeCell="T8" sqref="T8"/>
    </sheetView>
  </sheetViews>
  <sheetFormatPr defaultRowHeight="14.4" x14ac:dyDescent="0.3"/>
  <cols>
    <col min="2" max="2" width="9.88671875" customWidth="1"/>
    <col min="3" max="14" width="6.33203125" customWidth="1"/>
    <col min="15" max="15" width="7.6640625" customWidth="1"/>
    <col min="16" max="16" width="18.33203125" bestFit="1" customWidth="1"/>
  </cols>
  <sheetData>
    <row r="1" spans="1:16" x14ac:dyDescent="0.3">
      <c r="B1" s="103" t="s">
        <v>533</v>
      </c>
      <c r="C1" s="106" t="s">
        <v>107</v>
      </c>
      <c r="D1" s="106" t="s">
        <v>109</v>
      </c>
      <c r="E1" s="106" t="s">
        <v>110</v>
      </c>
      <c r="F1" s="106" t="s">
        <v>111</v>
      </c>
      <c r="G1" s="106" t="s">
        <v>112</v>
      </c>
      <c r="H1" s="106" t="s">
        <v>113</v>
      </c>
      <c r="I1" s="106" t="s">
        <v>114</v>
      </c>
      <c r="J1" s="106" t="s">
        <v>115</v>
      </c>
      <c r="K1" s="106" t="s">
        <v>116</v>
      </c>
      <c r="L1" s="106" t="s">
        <v>117</v>
      </c>
      <c r="M1" s="106" t="s">
        <v>118</v>
      </c>
      <c r="N1" s="106" t="s">
        <v>119</v>
      </c>
      <c r="O1" s="107" t="s">
        <v>128</v>
      </c>
    </row>
    <row r="2" spans="1:16" x14ac:dyDescent="0.3">
      <c r="B2" s="104" t="s">
        <v>25</v>
      </c>
      <c r="C2" s="117">
        <f>SUM('Fazla Mesai Direk'!C15:C19)</f>
        <v>3405.5</v>
      </c>
      <c r="D2" s="117">
        <f>SUM('Fazla Mesai Direk'!D15:D19)</f>
        <v>4669</v>
      </c>
      <c r="E2" s="117">
        <f>SUM('Fazla Mesai Direk'!E15:E19)</f>
        <v>5255.5</v>
      </c>
      <c r="F2" s="117">
        <f>SUM('Fazla Mesai Direk'!F15:F19)</f>
        <v>4711.5</v>
      </c>
      <c r="G2" s="117">
        <f>SUM('Fazla Mesai Direk'!G15:G19)</f>
        <v>5168.5</v>
      </c>
      <c r="H2" s="117">
        <f>SUM('Fazla Mesai Direk'!H15:H19)</f>
        <v>4791</v>
      </c>
      <c r="I2" s="117">
        <f>SUM('Fazla Mesai Direk'!I15:I19)</f>
        <v>4147.5</v>
      </c>
      <c r="J2" s="117">
        <f>SUM('Fazla Mesai Direk'!J15:J19)</f>
        <v>5610</v>
      </c>
      <c r="K2" s="117">
        <f>SUM('Fazla Mesai Direk'!K15:K19)</f>
        <v>5363</v>
      </c>
      <c r="L2" s="117">
        <f>SUM('Fazla Mesai Direk'!L15:L19)</f>
        <v>0</v>
      </c>
      <c r="M2" s="117">
        <f>SUM('Fazla Mesai Direk'!M15:M19)</f>
        <v>0</v>
      </c>
      <c r="N2" s="117">
        <f>SUM('Fazla Mesai Direk'!N15:N19)</f>
        <v>0</v>
      </c>
      <c r="O2" s="119">
        <f>SUM('Fazla Mesai Direk'!O15:O19)</f>
        <v>43121.5</v>
      </c>
    </row>
    <row r="3" spans="1:16" x14ac:dyDescent="0.3">
      <c r="B3" s="104" t="s">
        <v>530</v>
      </c>
      <c r="C3" s="117">
        <f>SUM('Fazla Mesai Direk'!C6:C12)</f>
        <v>2998.5</v>
      </c>
      <c r="D3" s="117">
        <f>SUM('Fazla Mesai Direk'!D6:D12)</f>
        <v>5574.5</v>
      </c>
      <c r="E3" s="117">
        <f>SUM('Fazla Mesai Direk'!E6:E12)</f>
        <v>6539.5</v>
      </c>
      <c r="F3" s="117">
        <f>SUM('Fazla Mesai Direk'!F6:F12)</f>
        <v>5501</v>
      </c>
      <c r="G3" s="117">
        <f>SUM('Fazla Mesai Direk'!G6:G12)</f>
        <v>6062</v>
      </c>
      <c r="H3" s="117">
        <f>SUM('Fazla Mesai Direk'!H6:H12)</f>
        <v>5525</v>
      </c>
      <c r="I3" s="117">
        <f>SUM('Fazla Mesai Direk'!I6:I12)</f>
        <v>2975.5</v>
      </c>
      <c r="J3" s="117">
        <f>SUM('Fazla Mesai Direk'!J6:J12)</f>
        <v>5228.5</v>
      </c>
      <c r="K3" s="117">
        <f>SUM('Fazla Mesai Direk'!K6:K12)</f>
        <v>5052</v>
      </c>
      <c r="L3" s="117">
        <f>SUM('Fazla Mesai Direk'!L6:L12)</f>
        <v>0</v>
      </c>
      <c r="M3" s="117">
        <f>SUM('Fazla Mesai Direk'!M6:M12)</f>
        <v>0</v>
      </c>
      <c r="N3" s="117">
        <f>SUM('Fazla Mesai Direk'!N6:N12)</f>
        <v>0</v>
      </c>
      <c r="O3" s="119">
        <f>SUM('Fazla Mesai Direk'!O6:O12)</f>
        <v>45456.5</v>
      </c>
    </row>
    <row r="4" spans="1:16" ht="15" thickBot="1" x14ac:dyDescent="0.35">
      <c r="B4" s="105" t="s">
        <v>531</v>
      </c>
      <c r="C4" s="120">
        <f>SUM('Fazla Mesai Direk'!C13:C14)</f>
        <v>817.5</v>
      </c>
      <c r="D4" s="120">
        <f>SUM('Fazla Mesai Direk'!D13:D14)</f>
        <v>1486.5</v>
      </c>
      <c r="E4" s="120">
        <f>SUM('Fazla Mesai Direk'!E13:E14)</f>
        <v>1540</v>
      </c>
      <c r="F4" s="120">
        <f>SUM('Fazla Mesai Direk'!F13:F14)</f>
        <v>1281.5</v>
      </c>
      <c r="G4" s="120">
        <f>SUM('Fazla Mesai Direk'!G13:G14)</f>
        <v>1635.5</v>
      </c>
      <c r="H4" s="120">
        <f>SUM('Fazla Mesai Direk'!H13:H14)</f>
        <v>1659.5</v>
      </c>
      <c r="I4" s="120">
        <f>SUM('Fazla Mesai Direk'!I13:I14)</f>
        <v>985</v>
      </c>
      <c r="J4" s="120">
        <f>SUM('Fazla Mesai Direk'!J13:J14)</f>
        <v>1351</v>
      </c>
      <c r="K4" s="120">
        <f>SUM('Fazla Mesai Direk'!K13:K14)</f>
        <v>1237</v>
      </c>
      <c r="L4" s="120">
        <f>SUM('Fazla Mesai Direk'!L13:L14)</f>
        <v>0</v>
      </c>
      <c r="M4" s="120">
        <f>SUM('Fazla Mesai Direk'!M13:M14)</f>
        <v>0</v>
      </c>
      <c r="N4" s="120">
        <f>SUM('Fazla Mesai Direk'!N13:N14)</f>
        <v>0</v>
      </c>
      <c r="O4" s="121">
        <f>SUM('Fazla Mesai Direk'!O13:O14)</f>
        <v>11993.5</v>
      </c>
    </row>
    <row r="5" spans="1:16" ht="15" thickBot="1" x14ac:dyDescent="0.35">
      <c r="B5" s="102" t="s">
        <v>532</v>
      </c>
      <c r="C5" s="122">
        <f>SUM(C2:C4)</f>
        <v>7221.5</v>
      </c>
      <c r="D5" s="122">
        <f t="shared" ref="D5:O5" si="0">SUM(D2:D4)</f>
        <v>11730</v>
      </c>
      <c r="E5" s="122">
        <f t="shared" si="0"/>
        <v>13335</v>
      </c>
      <c r="F5" s="122">
        <f t="shared" si="0"/>
        <v>11494</v>
      </c>
      <c r="G5" s="122">
        <f t="shared" si="0"/>
        <v>12866</v>
      </c>
      <c r="H5" s="122">
        <f t="shared" si="0"/>
        <v>11975.5</v>
      </c>
      <c r="I5" s="122">
        <f t="shared" si="0"/>
        <v>8108</v>
      </c>
      <c r="J5" s="122">
        <f t="shared" si="0"/>
        <v>12189.5</v>
      </c>
      <c r="K5" s="122">
        <f t="shared" si="0"/>
        <v>11652</v>
      </c>
      <c r="L5" s="122">
        <f t="shared" si="0"/>
        <v>0</v>
      </c>
      <c r="M5" s="122">
        <f t="shared" si="0"/>
        <v>0</v>
      </c>
      <c r="N5" s="122">
        <f t="shared" si="0"/>
        <v>0</v>
      </c>
      <c r="O5" s="123">
        <f t="shared" si="0"/>
        <v>100571.5</v>
      </c>
    </row>
    <row r="6" spans="1:16" ht="15" thickBot="1" x14ac:dyDescent="0.35"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</row>
    <row r="7" spans="1:16" x14ac:dyDescent="0.3">
      <c r="B7" s="103" t="s">
        <v>534</v>
      </c>
      <c r="C7" s="124" t="s">
        <v>107</v>
      </c>
      <c r="D7" s="124" t="s">
        <v>109</v>
      </c>
      <c r="E7" s="124" t="s">
        <v>110</v>
      </c>
      <c r="F7" s="124" t="s">
        <v>111</v>
      </c>
      <c r="G7" s="124" t="s">
        <v>112</v>
      </c>
      <c r="H7" s="124" t="s">
        <v>113</v>
      </c>
      <c r="I7" s="124" t="s">
        <v>114</v>
      </c>
      <c r="J7" s="124" t="s">
        <v>115</v>
      </c>
      <c r="K7" s="124" t="s">
        <v>116</v>
      </c>
      <c r="L7" s="124" t="s">
        <v>117</v>
      </c>
      <c r="M7" s="124" t="s">
        <v>118</v>
      </c>
      <c r="N7" s="124" t="s">
        <v>119</v>
      </c>
      <c r="O7" s="125" t="s">
        <v>128</v>
      </c>
    </row>
    <row r="8" spans="1:16" x14ac:dyDescent="0.3">
      <c r="B8" s="104" t="s">
        <v>25</v>
      </c>
      <c r="C8" s="117">
        <f>SUM('Fazla Mesai Endirek'!C15:C19)</f>
        <v>1382.5</v>
      </c>
      <c r="D8" s="117">
        <f>SUM('Fazla Mesai Endirek'!D15:D19)</f>
        <v>995.5</v>
      </c>
      <c r="E8" s="117">
        <f>SUM('Fazla Mesai Endirek'!E15:E19)</f>
        <v>1215.5</v>
      </c>
      <c r="F8" s="117">
        <f>SUM('Fazla Mesai Endirek'!F15:F19)</f>
        <v>1448.5</v>
      </c>
      <c r="G8" s="117">
        <f>SUM('Fazla Mesai Endirek'!G15:G19)</f>
        <v>1462</v>
      </c>
      <c r="H8" s="117">
        <f>SUM('Fazla Mesai Endirek'!H15:H19)</f>
        <v>1383</v>
      </c>
      <c r="I8" s="117">
        <f>SUM('Fazla Mesai Endirek'!I15:I19)</f>
        <v>774.5</v>
      </c>
      <c r="J8" s="117">
        <f>SUM('Fazla Mesai Endirek'!J15:J19)</f>
        <v>531.5</v>
      </c>
      <c r="K8" s="117">
        <f>SUM('Fazla Mesai Endirek'!K15:K19)</f>
        <v>430.5</v>
      </c>
      <c r="L8" s="117">
        <f>SUM('Fazla Mesai Endirek'!L15:L19)</f>
        <v>0</v>
      </c>
      <c r="M8" s="117">
        <f>SUM('Fazla Mesai Endirek'!M15:M19)</f>
        <v>0</v>
      </c>
      <c r="N8" s="117">
        <f>SUM('Fazla Mesai Endirek'!N15:N19)</f>
        <v>0</v>
      </c>
      <c r="O8" s="119">
        <f>SUM('Fazla Mesai Endirek'!O15:O19)</f>
        <v>9623.5</v>
      </c>
    </row>
    <row r="9" spans="1:16" x14ac:dyDescent="0.3">
      <c r="B9" s="104" t="s">
        <v>530</v>
      </c>
      <c r="C9" s="117">
        <f>SUM('Fazla Mesai Endirek'!C6:C12)</f>
        <v>370</v>
      </c>
      <c r="D9" s="117">
        <f>SUM('Fazla Mesai Endirek'!D6:D12)</f>
        <v>448.5</v>
      </c>
      <c r="E9" s="117">
        <f>SUM('Fazla Mesai Endirek'!E6:E12)</f>
        <v>563.5</v>
      </c>
      <c r="F9" s="117">
        <f>SUM('Fazla Mesai Endirek'!F6:F12)</f>
        <v>515.5</v>
      </c>
      <c r="G9" s="117">
        <f>SUM('Fazla Mesai Endirek'!G6:G12)</f>
        <v>638</v>
      </c>
      <c r="H9" s="117">
        <f>SUM('Fazla Mesai Endirek'!H6:H12)</f>
        <v>536.5</v>
      </c>
      <c r="I9" s="117">
        <f>SUM('Fazla Mesai Endirek'!I6:I12)</f>
        <v>420</v>
      </c>
      <c r="J9" s="117">
        <f>SUM('Fazla Mesai Endirek'!J6:J12)</f>
        <v>574.5</v>
      </c>
      <c r="K9" s="117">
        <f>SUM('Fazla Mesai Endirek'!K6:K12)</f>
        <v>579.5</v>
      </c>
      <c r="L9" s="117">
        <f>SUM('Fazla Mesai Endirek'!L6:L12)</f>
        <v>0</v>
      </c>
      <c r="M9" s="117">
        <f>SUM('Fazla Mesai Endirek'!M6:M12)</f>
        <v>0</v>
      </c>
      <c r="N9" s="117">
        <f>SUM('Fazla Mesai Endirek'!N6:N12)</f>
        <v>0</v>
      </c>
      <c r="O9" s="119">
        <f>SUM('Fazla Mesai Endirek'!O6:O12)</f>
        <v>4646</v>
      </c>
    </row>
    <row r="10" spans="1:16" ht="15" thickBot="1" x14ac:dyDescent="0.35">
      <c r="B10" s="105" t="s">
        <v>531</v>
      </c>
      <c r="C10" s="120">
        <f>SUM('Fazla Mesai Endirek'!C13:C14)</f>
        <v>460.5</v>
      </c>
      <c r="D10" s="120">
        <f>SUM('Fazla Mesai Endirek'!D13:D14)</f>
        <v>344.5</v>
      </c>
      <c r="E10" s="120">
        <f>SUM('Fazla Mesai Endirek'!E13:E14)</f>
        <v>395</v>
      </c>
      <c r="F10" s="120">
        <f>SUM('Fazla Mesai Endirek'!F13:F14)</f>
        <v>403</v>
      </c>
      <c r="G10" s="120">
        <f>SUM('Fazla Mesai Endirek'!G13:G14)</f>
        <v>451</v>
      </c>
      <c r="H10" s="120">
        <f>SUM('Fazla Mesai Endirek'!H13:H14)</f>
        <v>398.5</v>
      </c>
      <c r="I10" s="120">
        <f>SUM('Fazla Mesai Endirek'!I13:I14)</f>
        <v>241.5</v>
      </c>
      <c r="J10" s="120">
        <f>SUM('Fazla Mesai Endirek'!J13:J14)</f>
        <v>397.5</v>
      </c>
      <c r="K10" s="120">
        <f>SUM('Fazla Mesai Endirek'!K13:K14)</f>
        <v>332.5</v>
      </c>
      <c r="L10" s="120">
        <f>SUM('Fazla Mesai Endirek'!L13:L14)</f>
        <v>0</v>
      </c>
      <c r="M10" s="120">
        <f>SUM('Fazla Mesai Endirek'!M13:M14)</f>
        <v>0</v>
      </c>
      <c r="N10" s="120">
        <f>SUM('Fazla Mesai Endirek'!N13:N14)</f>
        <v>0</v>
      </c>
      <c r="O10" s="121">
        <f>SUM('Fazla Mesai Endirek'!O13:O14)</f>
        <v>3424</v>
      </c>
    </row>
    <row r="11" spans="1:16" ht="15" thickBot="1" x14ac:dyDescent="0.35">
      <c r="B11" s="102" t="s">
        <v>532</v>
      </c>
      <c r="C11" s="122">
        <f>SUM(C8:C10)</f>
        <v>2213</v>
      </c>
      <c r="D11" s="122">
        <f t="shared" ref="D11" si="1">SUM(D8:D10)</f>
        <v>1788.5</v>
      </c>
      <c r="E11" s="122">
        <f t="shared" ref="E11" si="2">SUM(E8:E10)</f>
        <v>2174</v>
      </c>
      <c r="F11" s="122">
        <f t="shared" ref="F11" si="3">SUM(F8:F10)</f>
        <v>2367</v>
      </c>
      <c r="G11" s="122">
        <f t="shared" ref="G11" si="4">SUM(G8:G10)</f>
        <v>2551</v>
      </c>
      <c r="H11" s="122">
        <f t="shared" ref="H11" si="5">SUM(H8:H10)</f>
        <v>2318</v>
      </c>
      <c r="I11" s="122">
        <f t="shared" ref="I11" si="6">SUM(I8:I10)</f>
        <v>1436</v>
      </c>
      <c r="J11" s="122">
        <f t="shared" ref="J11" si="7">SUM(J8:J10)</f>
        <v>1503.5</v>
      </c>
      <c r="K11" s="122">
        <f t="shared" ref="K11" si="8">SUM(K8:K10)</f>
        <v>1342.5</v>
      </c>
      <c r="L11" s="122">
        <f t="shared" ref="L11" si="9">SUM(L8:L10)</f>
        <v>0</v>
      </c>
      <c r="M11" s="122">
        <f t="shared" ref="M11" si="10">SUM(M8:M10)</f>
        <v>0</v>
      </c>
      <c r="N11" s="122">
        <f t="shared" ref="N11" si="11">SUM(N8:N10)</f>
        <v>0</v>
      </c>
      <c r="O11" s="123">
        <f t="shared" ref="O11" si="12">SUM(O8:O10)</f>
        <v>17693.5</v>
      </c>
    </row>
    <row r="12" spans="1:16" ht="15" thickBot="1" x14ac:dyDescent="0.35"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</row>
    <row r="13" spans="1:16" x14ac:dyDescent="0.3">
      <c r="A13" s="136" t="s">
        <v>548</v>
      </c>
      <c r="B13" s="133" t="s">
        <v>84</v>
      </c>
      <c r="C13" s="126" t="s">
        <v>107</v>
      </c>
      <c r="D13" s="127" t="s">
        <v>109</v>
      </c>
      <c r="E13" s="127" t="s">
        <v>110</v>
      </c>
      <c r="F13" s="127" t="s">
        <v>111</v>
      </c>
      <c r="G13" s="127" t="s">
        <v>112</v>
      </c>
      <c r="H13" s="127" t="s">
        <v>113</v>
      </c>
      <c r="I13" s="127" t="s">
        <v>114</v>
      </c>
      <c r="J13" s="127" t="s">
        <v>115</v>
      </c>
      <c r="K13" s="127" t="s">
        <v>116</v>
      </c>
      <c r="L13" s="127" t="s">
        <v>117</v>
      </c>
      <c r="M13" s="127" t="s">
        <v>118</v>
      </c>
      <c r="N13" s="127" t="s">
        <v>119</v>
      </c>
      <c r="O13" s="128" t="s">
        <v>120</v>
      </c>
      <c r="P13" s="133" t="s">
        <v>549</v>
      </c>
    </row>
    <row r="14" spans="1:16" x14ac:dyDescent="0.3">
      <c r="A14" s="137">
        <v>117</v>
      </c>
      <c r="B14" s="139" t="s">
        <v>108</v>
      </c>
      <c r="C14" s="129">
        <f>SUM('Fazla Mesai Direk'!C6:C14,'Fazla Mesai Endirek'!C6:C14)</f>
        <v>4646.5</v>
      </c>
      <c r="D14" s="117">
        <f>SUM('Fazla Mesai Direk'!D6:D14,'Fazla Mesai Endirek'!D6:D14)</f>
        <v>7854</v>
      </c>
      <c r="E14" s="117">
        <f>SUM('Fazla Mesai Direk'!E6:E14,'Fazla Mesai Endirek'!E6:E14)</f>
        <v>9038</v>
      </c>
      <c r="F14" s="117">
        <f>SUM('Fazla Mesai Direk'!F6:F14,'Fazla Mesai Endirek'!F6:F14)</f>
        <v>7701</v>
      </c>
      <c r="G14" s="117">
        <f>SUM('Fazla Mesai Direk'!G6:G14,'Fazla Mesai Endirek'!G6:G14)</f>
        <v>8786.5</v>
      </c>
      <c r="H14" s="117">
        <f>SUM('Fazla Mesai Direk'!H6:H14,'Fazla Mesai Endirek'!H6:H14)</f>
        <v>8119.5</v>
      </c>
      <c r="I14" s="117">
        <f>SUM('Fazla Mesai Direk'!I6:I14,'Fazla Mesai Endirek'!I6:I14)</f>
        <v>4622</v>
      </c>
      <c r="J14" s="117">
        <f>SUM('Fazla Mesai Direk'!J6:J14,'Fazla Mesai Endirek'!J6:J14)</f>
        <v>7551.5</v>
      </c>
      <c r="K14" s="117">
        <f>SUM('Fazla Mesai Direk'!K6:K14,'Fazla Mesai Endirek'!K6:K14)</f>
        <v>7201</v>
      </c>
      <c r="L14" s="117">
        <f>SUM('Fazla Mesai Direk'!L6:L14,'Fazla Mesai Endirek'!L6:L14)</f>
        <v>0</v>
      </c>
      <c r="M14" s="117">
        <f>SUM('Fazla Mesai Direk'!M6:M14,'Fazla Mesai Endirek'!M6:M14)</f>
        <v>0</v>
      </c>
      <c r="N14" s="117">
        <f>SUM('Fazla Mesai Direk'!N6:N14,'Fazla Mesai Endirek'!N6:N14)</f>
        <v>0</v>
      </c>
      <c r="O14" s="119">
        <f>SUM(C14:N14)</f>
        <v>65520</v>
      </c>
      <c r="P14" s="134">
        <f>O14/A14</f>
        <v>560</v>
      </c>
    </row>
    <row r="15" spans="1:16" x14ac:dyDescent="0.3">
      <c r="A15" s="137">
        <v>32</v>
      </c>
      <c r="B15" s="139" t="s">
        <v>28</v>
      </c>
      <c r="C15" s="129">
        <f>SUM('Fazla Mesai Direk'!C15:C16,'Fazla Mesai Endirek'!C15:C16)</f>
        <v>1423</v>
      </c>
      <c r="D15" s="117">
        <f>SUM('Fazla Mesai Direk'!D15:D16,'Fazla Mesai Endirek'!D15:D16)</f>
        <v>1692</v>
      </c>
      <c r="E15" s="117">
        <f>SUM('Fazla Mesai Direk'!E15:E16,'Fazla Mesai Endirek'!E15:E16)</f>
        <v>2011</v>
      </c>
      <c r="F15" s="117">
        <f>SUM('Fazla Mesai Direk'!F15:F16,'Fazla Mesai Endirek'!F15:F16)</f>
        <v>1819.5</v>
      </c>
      <c r="G15" s="117">
        <f>SUM('Fazla Mesai Direk'!G15:G16,'Fazla Mesai Endirek'!G15:G16)</f>
        <v>1793.5</v>
      </c>
      <c r="H15" s="117">
        <f>SUM('Fazla Mesai Direk'!H15:H16,'Fazla Mesai Endirek'!H15:H16)</f>
        <v>1736</v>
      </c>
      <c r="I15" s="117">
        <f>SUM('Fazla Mesai Direk'!I15:I16,'Fazla Mesai Endirek'!I15:I16)</f>
        <v>972</v>
      </c>
      <c r="J15" s="117">
        <f>SUM('Fazla Mesai Direk'!J15:J16,'Fazla Mesai Endirek'!J15:J16)</f>
        <v>1258.5</v>
      </c>
      <c r="K15" s="117">
        <f>SUM('Fazla Mesai Direk'!K15:K16,'Fazla Mesai Endirek'!K15:K16)</f>
        <v>1237</v>
      </c>
      <c r="L15" s="117">
        <f>SUM('Fazla Mesai Direk'!L15:L16,'Fazla Mesai Endirek'!L15:L16)</f>
        <v>0</v>
      </c>
      <c r="M15" s="117">
        <f>SUM('Fazla Mesai Direk'!M15:M16,'Fazla Mesai Endirek'!M15:M16)</f>
        <v>0</v>
      </c>
      <c r="N15" s="117">
        <f>SUM('Fazla Mesai Direk'!N15:N16,'Fazla Mesai Endirek'!N15:N16)</f>
        <v>0</v>
      </c>
      <c r="O15" s="119">
        <f t="shared" ref="O15:O17" si="13">SUM(C15:N15)</f>
        <v>13942.5</v>
      </c>
      <c r="P15" s="134">
        <f t="shared" ref="P15:P17" si="14">O15/A15</f>
        <v>435.703125</v>
      </c>
    </row>
    <row r="16" spans="1:16" x14ac:dyDescent="0.3">
      <c r="A16" s="137">
        <v>60</v>
      </c>
      <c r="B16" s="139" t="s">
        <v>25</v>
      </c>
      <c r="C16" s="129">
        <f>SUM('Fazla Mesai Direk'!C17,'Fazla Mesai Direk'!C19,'Fazla Mesai Endirek'!C17,'Fazla Mesai Endirek'!C19)</f>
        <v>2492.5</v>
      </c>
      <c r="D16" s="117">
        <f>SUM('Fazla Mesai Direk'!D17,'Fazla Mesai Direk'!D19,'Fazla Mesai Endirek'!D17,'Fazla Mesai Endirek'!D19)</f>
        <v>3168.5</v>
      </c>
      <c r="E16" s="117">
        <f>SUM('Fazla Mesai Direk'!E17,'Fazla Mesai Direk'!E19,'Fazla Mesai Endirek'!E17,'Fazla Mesai Endirek'!E19)</f>
        <v>3475</v>
      </c>
      <c r="F16" s="117">
        <f>SUM('Fazla Mesai Direk'!F17,'Fazla Mesai Direk'!F19,'Fazla Mesai Endirek'!F17,'Fazla Mesai Endirek'!F19)</f>
        <v>3555.5</v>
      </c>
      <c r="G16" s="117">
        <f>SUM('Fazla Mesai Direk'!G17,'Fazla Mesai Direk'!G19,'Fazla Mesai Endirek'!G17,'Fazla Mesai Endirek'!G19)</f>
        <v>3745.5</v>
      </c>
      <c r="H16" s="117">
        <f>SUM('Fazla Mesai Direk'!H17,'Fazla Mesai Direk'!H19,'Fazla Mesai Endirek'!H17,'Fazla Mesai Endirek'!H19)</f>
        <v>3386.5</v>
      </c>
      <c r="I16" s="117">
        <f>SUM('Fazla Mesai Direk'!I17,'Fazla Mesai Direk'!I19,'Fazla Mesai Endirek'!I17,'Fazla Mesai Endirek'!I19)</f>
        <v>3130</v>
      </c>
      <c r="J16" s="117">
        <f>SUM('Fazla Mesai Direk'!J17,'Fazla Mesai Direk'!J19,'Fazla Mesai Endirek'!J17,'Fazla Mesai Endirek'!J19)</f>
        <v>3966</v>
      </c>
      <c r="K16" s="117">
        <f>SUM('Fazla Mesai Direk'!K17,'Fazla Mesai Direk'!K19,'Fazla Mesai Endirek'!K17,'Fazla Mesai Endirek'!K19)</f>
        <v>2803</v>
      </c>
      <c r="L16" s="117">
        <f>SUM('Fazla Mesai Direk'!L17,'Fazla Mesai Direk'!L19,'Fazla Mesai Endirek'!L17,'Fazla Mesai Endirek'!L19)</f>
        <v>0</v>
      </c>
      <c r="M16" s="117">
        <f>SUM('Fazla Mesai Direk'!M17,'Fazla Mesai Direk'!M19,'Fazla Mesai Endirek'!M17,'Fazla Mesai Endirek'!M19)</f>
        <v>0</v>
      </c>
      <c r="N16" s="117">
        <f>SUM('Fazla Mesai Direk'!N17,'Fazla Mesai Direk'!N19,'Fazla Mesai Endirek'!N17,'Fazla Mesai Endirek'!N19)</f>
        <v>0</v>
      </c>
      <c r="O16" s="119">
        <f t="shared" si="13"/>
        <v>29722.5</v>
      </c>
      <c r="P16" s="134">
        <f t="shared" si="14"/>
        <v>495.375</v>
      </c>
    </row>
    <row r="17" spans="1:16" ht="15" thickBot="1" x14ac:dyDescent="0.35">
      <c r="A17" s="138">
        <v>16</v>
      </c>
      <c r="B17" s="140" t="s">
        <v>20</v>
      </c>
      <c r="C17" s="130">
        <f>SUM('Fazla Mesai Direk'!C18,'Fazla Mesai Endirek'!C18)</f>
        <v>872.5</v>
      </c>
      <c r="D17" s="131">
        <f>SUM('Fazla Mesai Direk'!D18,'Fazla Mesai Endirek'!D18)</f>
        <v>804</v>
      </c>
      <c r="E17" s="131">
        <f>SUM('Fazla Mesai Direk'!E18,'Fazla Mesai Endirek'!E18)</f>
        <v>985</v>
      </c>
      <c r="F17" s="131">
        <f>SUM('Fazla Mesai Direk'!F18,'Fazla Mesai Endirek'!F18)</f>
        <v>785</v>
      </c>
      <c r="G17" s="131">
        <f>SUM('Fazla Mesai Direk'!G18,'Fazla Mesai Endirek'!G18)</f>
        <v>1091.5</v>
      </c>
      <c r="H17" s="131">
        <f>SUM('Fazla Mesai Direk'!H18,'Fazla Mesai Endirek'!H18)</f>
        <v>1051.5</v>
      </c>
      <c r="I17" s="131">
        <f>SUM('Fazla Mesai Direk'!I18,'Fazla Mesai Endirek'!I18)</f>
        <v>820</v>
      </c>
      <c r="J17" s="131">
        <f>SUM('Fazla Mesai Direk'!J18,'Fazla Mesai Endirek'!J18)</f>
        <v>917</v>
      </c>
      <c r="K17" s="131">
        <f>SUM('Fazla Mesai Direk'!K18,'Fazla Mesai Endirek'!K18)</f>
        <v>1753.5</v>
      </c>
      <c r="L17" s="131">
        <f>SUM('Fazla Mesai Direk'!L18,'Fazla Mesai Endirek'!L18)</f>
        <v>0</v>
      </c>
      <c r="M17" s="131">
        <f>SUM('Fazla Mesai Direk'!M18,'Fazla Mesai Endirek'!M18)</f>
        <v>0</v>
      </c>
      <c r="N17" s="131">
        <f>SUM('Fazla Mesai Direk'!N18,'Fazla Mesai Endirek'!N18)</f>
        <v>0</v>
      </c>
      <c r="O17" s="132">
        <f t="shared" si="13"/>
        <v>9080</v>
      </c>
      <c r="P17" s="135">
        <f t="shared" si="14"/>
        <v>567.5</v>
      </c>
    </row>
    <row r="18" spans="1:16" ht="15" thickBot="1" x14ac:dyDescent="0.35"/>
    <row r="19" spans="1:16" ht="15" thickBot="1" x14ac:dyDescent="0.35">
      <c r="B19" s="118" t="s">
        <v>120</v>
      </c>
      <c r="C19" s="141">
        <f>SUM(C14:C18)</f>
        <v>9434.5</v>
      </c>
      <c r="D19" s="122">
        <f t="shared" ref="D19:N19" si="15">SUM(D14:D18)</f>
        <v>13518.5</v>
      </c>
      <c r="E19" s="122">
        <f t="shared" si="15"/>
        <v>15509</v>
      </c>
      <c r="F19" s="122">
        <f t="shared" si="15"/>
        <v>13861</v>
      </c>
      <c r="G19" s="122">
        <f t="shared" si="15"/>
        <v>15417</v>
      </c>
      <c r="H19" s="122">
        <f t="shared" si="15"/>
        <v>14293.5</v>
      </c>
      <c r="I19" s="122">
        <f t="shared" si="15"/>
        <v>9544</v>
      </c>
      <c r="J19" s="122">
        <f t="shared" si="15"/>
        <v>13693</v>
      </c>
      <c r="K19" s="122">
        <f t="shared" si="15"/>
        <v>12994.5</v>
      </c>
      <c r="L19" s="122">
        <f t="shared" si="15"/>
        <v>0</v>
      </c>
      <c r="M19" s="122">
        <f t="shared" si="15"/>
        <v>0</v>
      </c>
      <c r="N19" s="122">
        <f t="shared" si="15"/>
        <v>0</v>
      </c>
      <c r="O19" s="142"/>
      <c r="P19" s="143">
        <f>AVERAGE(P14:P17)</f>
        <v>514.64453125</v>
      </c>
    </row>
  </sheetData>
  <pageMargins left="0.25" right="0.25" top="0.75" bottom="0.75" header="0.3" footer="0.3"/>
  <pageSetup scale="110" orientation="landscape" r:id="rId1"/>
  <headerFooter differentFirst="1">
    <oddFooter>&amp;C&amp;"verdana,Regular"&amp;8Kurum İçi | Internal \  Kişisel Veri İçermez | Contains No Personal Data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3"/>
  <dimension ref="A1:AM926"/>
  <sheetViews>
    <sheetView topLeftCell="I874" zoomScale="70" zoomScaleNormal="70" workbookViewId="0">
      <selection activeCell="I901" sqref="I901"/>
    </sheetView>
  </sheetViews>
  <sheetFormatPr defaultColWidth="8.88671875" defaultRowHeight="14.4" x14ac:dyDescent="0.3"/>
  <cols>
    <col min="1" max="1" width="8.88671875" style="90"/>
    <col min="2" max="2" width="12.33203125" style="90" customWidth="1"/>
    <col min="3" max="3" width="32.6640625" style="90" customWidth="1"/>
    <col min="4" max="4" width="15" style="90" customWidth="1"/>
    <col min="5" max="5" width="10.88671875" style="90" customWidth="1"/>
    <col min="6" max="6" width="18" style="301" customWidth="1"/>
    <col min="7" max="7" width="16" style="90" bestFit="1" customWidth="1"/>
    <col min="8" max="8" width="16.33203125" style="90" customWidth="1"/>
    <col min="9" max="9" width="14.5546875" style="90" customWidth="1"/>
    <col min="10" max="10" width="12.33203125" style="90" customWidth="1"/>
    <col min="11" max="11" width="12.44140625" style="90" customWidth="1"/>
    <col min="12" max="12" width="17.33203125" style="90" bestFit="1" customWidth="1"/>
    <col min="13" max="13" width="21.44140625" style="90" customWidth="1"/>
    <col min="14" max="14" width="13.109375" style="90" customWidth="1"/>
    <col min="15" max="15" width="21.6640625" style="90" customWidth="1"/>
    <col min="16" max="16" width="18.33203125" style="90" bestFit="1" customWidth="1"/>
    <col min="17" max="17" width="13.44140625" style="90" customWidth="1"/>
    <col min="18" max="18" width="30" style="90" customWidth="1"/>
    <col min="19" max="19" width="13.44140625" style="90" customWidth="1"/>
    <col min="20" max="20" width="13.33203125" style="90" bestFit="1" customWidth="1"/>
    <col min="21" max="21" width="10.6640625" style="90" customWidth="1"/>
    <col min="22" max="22" width="15.5546875" style="90" customWidth="1"/>
    <col min="23" max="23" width="24.109375" style="90" customWidth="1"/>
    <col min="24" max="24" width="13.109375" style="90" customWidth="1"/>
    <col min="25" max="25" width="10.88671875" style="90" bestFit="1" customWidth="1"/>
    <col min="26" max="26" width="14.6640625" style="90" customWidth="1"/>
    <col min="27" max="27" width="14.33203125" style="90" customWidth="1"/>
    <col min="28" max="28" width="8.44140625" style="90" customWidth="1"/>
    <col min="29" max="29" width="14.109375" style="90" customWidth="1"/>
    <col min="30" max="30" width="24.6640625" style="90" customWidth="1"/>
    <col min="31" max="31" width="22" style="90" bestFit="1" customWidth="1"/>
    <col min="32" max="33" width="8.88671875" style="90"/>
    <col min="34" max="34" width="12" style="90" customWidth="1"/>
    <col min="35" max="35" width="20.44140625" style="90" customWidth="1"/>
    <col min="36" max="36" width="37.109375" style="90" customWidth="1"/>
    <col min="37" max="37" width="10.109375" style="94" bestFit="1" customWidth="1"/>
    <col min="38" max="38" width="30.6640625" style="90" bestFit="1" customWidth="1"/>
    <col min="39" max="39" width="10.109375" style="90" bestFit="1" customWidth="1"/>
    <col min="40" max="40" width="3.44140625" style="90" bestFit="1" customWidth="1"/>
    <col min="41" max="44" width="8.88671875" style="90"/>
    <col min="45" max="45" width="16.6640625" style="90" bestFit="1" customWidth="1"/>
    <col min="46" max="16384" width="8.88671875" style="90"/>
  </cols>
  <sheetData>
    <row r="1" spans="1:37" ht="23.25" customHeight="1" x14ac:dyDescent="0.3">
      <c r="A1" s="535" t="s">
        <v>155</v>
      </c>
      <c r="B1" s="528" t="s">
        <v>156</v>
      </c>
      <c r="C1" s="528"/>
      <c r="D1" s="528"/>
      <c r="E1" s="529"/>
      <c r="F1" s="285"/>
      <c r="G1" s="530" t="s">
        <v>157</v>
      </c>
      <c r="H1" s="528"/>
      <c r="I1" s="528"/>
      <c r="J1" s="529"/>
      <c r="K1" s="246"/>
      <c r="L1" s="531" t="s">
        <v>158</v>
      </c>
      <c r="M1" s="531"/>
      <c r="N1" s="531"/>
      <c r="O1" s="531"/>
      <c r="P1" s="247"/>
      <c r="Q1" s="531" t="s">
        <v>159</v>
      </c>
      <c r="R1" s="531"/>
      <c r="S1" s="531"/>
      <c r="T1" s="531"/>
      <c r="U1" s="246"/>
      <c r="V1" s="530" t="s">
        <v>160</v>
      </c>
      <c r="W1" s="528"/>
      <c r="X1" s="528"/>
      <c r="Y1" s="529"/>
      <c r="Z1" s="246"/>
      <c r="AA1" s="246"/>
      <c r="AB1" s="246"/>
      <c r="AC1" s="531" t="s">
        <v>161</v>
      </c>
      <c r="AD1" s="531"/>
      <c r="AE1" s="531"/>
      <c r="AF1" s="534"/>
      <c r="AG1" s="246"/>
      <c r="AH1" s="531" t="s">
        <v>161</v>
      </c>
      <c r="AI1" s="531"/>
      <c r="AJ1" s="531"/>
      <c r="AK1" s="534"/>
    </row>
    <row r="2" spans="1:37" x14ac:dyDescent="0.3">
      <c r="A2" s="536"/>
      <c r="B2" s="91" t="s">
        <v>417</v>
      </c>
      <c r="C2" s="248" t="s">
        <v>456</v>
      </c>
      <c r="D2" s="249">
        <v>720</v>
      </c>
      <c r="E2" s="248">
        <v>1</v>
      </c>
      <c r="F2" s="286"/>
      <c r="G2" s="248" t="s">
        <v>180</v>
      </c>
      <c r="H2" s="248" t="s">
        <v>181</v>
      </c>
      <c r="I2" s="249">
        <v>769</v>
      </c>
      <c r="J2" s="248">
        <v>1</v>
      </c>
      <c r="K2" s="93"/>
      <c r="L2" s="248" t="s">
        <v>182</v>
      </c>
      <c r="M2" s="248" t="s">
        <v>165</v>
      </c>
      <c r="N2" s="249">
        <v>9597</v>
      </c>
      <c r="O2" s="248">
        <v>15</v>
      </c>
      <c r="P2" s="93"/>
      <c r="Q2" s="248" t="s">
        <v>319</v>
      </c>
      <c r="R2" s="248" t="s">
        <v>320</v>
      </c>
      <c r="S2" s="249">
        <v>28888</v>
      </c>
      <c r="T2" s="248">
        <v>23</v>
      </c>
      <c r="U2" s="93"/>
      <c r="V2" s="248" t="s">
        <v>345</v>
      </c>
      <c r="W2" s="248" t="s">
        <v>346</v>
      </c>
      <c r="X2" s="250">
        <v>72</v>
      </c>
      <c r="Y2" s="248">
        <v>6</v>
      </c>
      <c r="Z2" s="93"/>
      <c r="AA2" s="93"/>
      <c r="AB2" s="93"/>
      <c r="AC2" s="248" t="s">
        <v>424</v>
      </c>
      <c r="AD2" s="248" t="s">
        <v>424</v>
      </c>
      <c r="AE2" s="250">
        <v>225</v>
      </c>
      <c r="AF2" s="251">
        <v>30</v>
      </c>
      <c r="AG2" s="93"/>
      <c r="AH2" s="248" t="s">
        <v>282</v>
      </c>
      <c r="AI2" s="248" t="s">
        <v>242</v>
      </c>
      <c r="AJ2" s="250">
        <v>108.8</v>
      </c>
      <c r="AK2" s="251">
        <v>3</v>
      </c>
    </row>
    <row r="3" spans="1:37" x14ac:dyDescent="0.3">
      <c r="A3" s="536"/>
      <c r="B3" s="209" t="s">
        <v>454</v>
      </c>
      <c r="C3" s="248" t="s">
        <v>455</v>
      </c>
      <c r="D3" s="249">
        <v>42952</v>
      </c>
      <c r="E3" s="248">
        <v>13</v>
      </c>
      <c r="F3" s="286"/>
      <c r="G3" s="248" t="s">
        <v>184</v>
      </c>
      <c r="H3" s="248" t="s">
        <v>181</v>
      </c>
      <c r="I3" s="249">
        <v>2028</v>
      </c>
      <c r="J3" s="248">
        <v>3</v>
      </c>
      <c r="K3" s="93"/>
      <c r="L3" s="248" t="s">
        <v>483</v>
      </c>
      <c r="M3" s="248" t="s">
        <v>165</v>
      </c>
      <c r="N3" s="249">
        <v>3243</v>
      </c>
      <c r="O3" s="248">
        <v>5</v>
      </c>
      <c r="P3" s="93"/>
      <c r="Q3" s="248" t="s">
        <v>166</v>
      </c>
      <c r="R3" s="248" t="s">
        <v>167</v>
      </c>
      <c r="S3" s="249">
        <v>13473</v>
      </c>
      <c r="T3" s="248">
        <v>9</v>
      </c>
      <c r="U3" s="93"/>
      <c r="V3" s="248" t="s">
        <v>426</v>
      </c>
      <c r="W3" s="248" t="s">
        <v>327</v>
      </c>
      <c r="X3" s="250">
        <v>44.1</v>
      </c>
      <c r="Y3" s="248">
        <v>7</v>
      </c>
      <c r="Z3" s="93"/>
      <c r="AA3" s="93"/>
      <c r="AB3" s="93"/>
      <c r="AC3" s="248" t="s">
        <v>557</v>
      </c>
      <c r="AD3" s="248" t="s">
        <v>457</v>
      </c>
      <c r="AE3" s="250">
        <v>272</v>
      </c>
      <c r="AF3" s="251">
        <v>32</v>
      </c>
      <c r="AG3" s="93"/>
      <c r="AH3" s="248" t="s">
        <v>349</v>
      </c>
      <c r="AI3" s="248" t="s">
        <v>242</v>
      </c>
      <c r="AJ3" s="250">
        <v>73.180000000000007</v>
      </c>
      <c r="AK3" s="251">
        <v>1</v>
      </c>
    </row>
    <row r="4" spans="1:37" x14ac:dyDescent="0.3">
      <c r="A4" s="536"/>
      <c r="B4" s="91" t="s">
        <v>179</v>
      </c>
      <c r="C4" s="248" t="s">
        <v>162</v>
      </c>
      <c r="D4" s="249">
        <v>52904</v>
      </c>
      <c r="E4" s="248">
        <v>34</v>
      </c>
      <c r="F4" s="286"/>
      <c r="G4" s="248" t="s">
        <v>189</v>
      </c>
      <c r="H4" s="248" t="s">
        <v>181</v>
      </c>
      <c r="I4" s="249">
        <v>3324</v>
      </c>
      <c r="J4" s="248">
        <v>4</v>
      </c>
      <c r="K4" s="93"/>
      <c r="L4" s="248" t="s">
        <v>164</v>
      </c>
      <c r="M4" s="248" t="s">
        <v>165</v>
      </c>
      <c r="N4" s="249">
        <v>6196</v>
      </c>
      <c r="O4" s="248">
        <v>10</v>
      </c>
      <c r="P4" s="93"/>
      <c r="Q4" s="248" t="s">
        <v>484</v>
      </c>
      <c r="R4" s="248" t="s">
        <v>174</v>
      </c>
      <c r="S4" s="249">
        <v>14420</v>
      </c>
      <c r="T4" s="248">
        <v>14</v>
      </c>
      <c r="U4" s="93"/>
      <c r="V4" s="248" t="s">
        <v>390</v>
      </c>
      <c r="W4" s="248" t="s">
        <v>391</v>
      </c>
      <c r="X4" s="250">
        <v>105</v>
      </c>
      <c r="Y4" s="248">
        <v>7</v>
      </c>
      <c r="Z4" s="93"/>
      <c r="AA4" s="93"/>
      <c r="AB4" s="93"/>
      <c r="AC4" s="248" t="s">
        <v>601</v>
      </c>
      <c r="AD4" s="248" t="s">
        <v>175</v>
      </c>
      <c r="AE4" s="250">
        <v>3.5</v>
      </c>
      <c r="AF4" s="251">
        <v>7</v>
      </c>
      <c r="AG4" s="93"/>
      <c r="AH4" s="248" t="s">
        <v>518</v>
      </c>
      <c r="AI4" s="248" t="s">
        <v>242</v>
      </c>
      <c r="AJ4" s="250">
        <v>18</v>
      </c>
      <c r="AK4" s="251">
        <v>1</v>
      </c>
    </row>
    <row r="5" spans="1:37" x14ac:dyDescent="0.3">
      <c r="A5" s="536"/>
      <c r="B5" s="248" t="s">
        <v>445</v>
      </c>
      <c r="C5" s="248" t="s">
        <v>170</v>
      </c>
      <c r="D5" s="249">
        <v>12565</v>
      </c>
      <c r="E5" s="248">
        <v>7</v>
      </c>
      <c r="F5" s="286"/>
      <c r="G5" s="248" t="s">
        <v>331</v>
      </c>
      <c r="H5" s="248" t="s">
        <v>181</v>
      </c>
      <c r="I5" s="249">
        <v>1320</v>
      </c>
      <c r="J5" s="248">
        <v>2</v>
      </c>
      <c r="K5" s="93"/>
      <c r="L5" s="248" t="s">
        <v>322</v>
      </c>
      <c r="M5" s="248" t="s">
        <v>165</v>
      </c>
      <c r="N5" s="248">
        <v>871</v>
      </c>
      <c r="O5" s="248">
        <v>1</v>
      </c>
      <c r="P5" s="93"/>
      <c r="Q5" s="248" t="s">
        <v>173</v>
      </c>
      <c r="R5" s="248" t="s">
        <v>174</v>
      </c>
      <c r="S5" s="249">
        <v>6786</v>
      </c>
      <c r="T5" s="248">
        <v>6</v>
      </c>
      <c r="U5" s="93"/>
      <c r="V5" s="248" t="s">
        <v>446</v>
      </c>
      <c r="W5" s="248" t="s">
        <v>447</v>
      </c>
      <c r="X5" s="250">
        <v>44.1</v>
      </c>
      <c r="Y5" s="248">
        <v>7</v>
      </c>
      <c r="Z5" s="93"/>
      <c r="AA5" s="93"/>
      <c r="AB5" s="93"/>
      <c r="AC5" s="248" t="s">
        <v>458</v>
      </c>
      <c r="AD5" s="248" t="s">
        <v>459</v>
      </c>
      <c r="AE5" s="250">
        <v>140</v>
      </c>
      <c r="AF5" s="251">
        <v>7</v>
      </c>
      <c r="AG5" s="93"/>
      <c r="AH5" s="248" t="s">
        <v>243</v>
      </c>
      <c r="AI5" s="248" t="s">
        <v>242</v>
      </c>
      <c r="AJ5" s="250">
        <v>187.76</v>
      </c>
      <c r="AK5" s="251">
        <v>6</v>
      </c>
    </row>
    <row r="6" spans="1:37" x14ac:dyDescent="0.3">
      <c r="A6" s="536"/>
      <c r="B6" s="209" t="s">
        <v>482</v>
      </c>
      <c r="C6" s="248" t="s">
        <v>170</v>
      </c>
      <c r="D6" s="249">
        <v>36675</v>
      </c>
      <c r="E6" s="248">
        <v>9</v>
      </c>
      <c r="F6" s="286"/>
      <c r="G6" s="248" t="s">
        <v>564</v>
      </c>
      <c r="H6" s="248" t="s">
        <v>181</v>
      </c>
      <c r="I6" s="249">
        <v>30121</v>
      </c>
      <c r="J6" s="248">
        <v>13</v>
      </c>
      <c r="K6" s="93"/>
      <c r="L6" s="248" t="s">
        <v>185</v>
      </c>
      <c r="M6" s="248" t="s">
        <v>165</v>
      </c>
      <c r="N6" s="249">
        <v>18832</v>
      </c>
      <c r="O6" s="248">
        <v>22</v>
      </c>
      <c r="P6" s="93"/>
      <c r="Q6" s="248" t="s">
        <v>569</v>
      </c>
      <c r="R6" s="248" t="s">
        <v>174</v>
      </c>
      <c r="S6" s="249">
        <v>7500</v>
      </c>
      <c r="T6" s="248">
        <v>1</v>
      </c>
      <c r="U6" s="93"/>
      <c r="V6" s="248" t="s">
        <v>465</v>
      </c>
      <c r="W6" s="248" t="s">
        <v>328</v>
      </c>
      <c r="X6" s="250">
        <v>252</v>
      </c>
      <c r="Y6" s="248">
        <v>21</v>
      </c>
      <c r="Z6" s="93"/>
      <c r="AA6" s="93"/>
      <c r="AB6" s="93"/>
      <c r="AC6" s="248" t="s">
        <v>490</v>
      </c>
      <c r="AD6" s="248" t="s">
        <v>491</v>
      </c>
      <c r="AE6" s="250">
        <v>31.5</v>
      </c>
      <c r="AF6" s="251">
        <v>7</v>
      </c>
      <c r="AG6" s="93"/>
      <c r="AH6" s="248" t="s">
        <v>448</v>
      </c>
      <c r="AI6" s="248" t="s">
        <v>242</v>
      </c>
      <c r="AJ6" s="250">
        <v>313.85000000000002</v>
      </c>
      <c r="AK6" s="251">
        <v>5</v>
      </c>
    </row>
    <row r="7" spans="1:37" x14ac:dyDescent="0.3">
      <c r="A7" s="536"/>
      <c r="B7" s="209" t="s">
        <v>194</v>
      </c>
      <c r="C7" s="248" t="s">
        <v>170</v>
      </c>
      <c r="D7" s="249">
        <v>31245</v>
      </c>
      <c r="E7" s="248">
        <v>5</v>
      </c>
      <c r="F7" s="286"/>
      <c r="G7" s="248" t="s">
        <v>565</v>
      </c>
      <c r="H7" s="248" t="s">
        <v>181</v>
      </c>
      <c r="I7" s="249">
        <v>6951</v>
      </c>
      <c r="J7" s="248">
        <v>3</v>
      </c>
      <c r="K7" s="93"/>
      <c r="L7" s="248" t="s">
        <v>566</v>
      </c>
      <c r="M7" s="248" t="s">
        <v>165</v>
      </c>
      <c r="N7" s="249">
        <v>3500</v>
      </c>
      <c r="O7" s="248">
        <v>1</v>
      </c>
      <c r="P7" s="93"/>
      <c r="Q7" s="248" t="s">
        <v>186</v>
      </c>
      <c r="R7" s="248" t="s">
        <v>174</v>
      </c>
      <c r="S7" s="249">
        <v>42296</v>
      </c>
      <c r="T7" s="248">
        <v>34</v>
      </c>
      <c r="U7" s="93"/>
      <c r="V7" s="248" t="s">
        <v>466</v>
      </c>
      <c r="W7" s="248" t="s">
        <v>467</v>
      </c>
      <c r="X7" s="250">
        <v>112.7</v>
      </c>
      <c r="Y7" s="248">
        <v>14</v>
      </c>
      <c r="Z7" s="93"/>
      <c r="AA7" s="93"/>
      <c r="AB7" s="93"/>
      <c r="AC7" s="248" t="s">
        <v>492</v>
      </c>
      <c r="AD7" s="248" t="s">
        <v>493</v>
      </c>
      <c r="AE7" s="250">
        <v>16.100000000000001</v>
      </c>
      <c r="AF7" s="251">
        <v>7</v>
      </c>
      <c r="AG7" s="93"/>
      <c r="AH7" s="248" t="s">
        <v>244</v>
      </c>
      <c r="AI7" s="248" t="s">
        <v>242</v>
      </c>
      <c r="AJ7" s="250">
        <v>555.44000000000005</v>
      </c>
      <c r="AK7" s="251">
        <v>8</v>
      </c>
    </row>
    <row r="8" spans="1:37" x14ac:dyDescent="0.3">
      <c r="A8" s="536"/>
      <c r="B8" s="91" t="s">
        <v>203</v>
      </c>
      <c r="C8" s="248" t="s">
        <v>170</v>
      </c>
      <c r="D8" s="249">
        <v>36274.6</v>
      </c>
      <c r="E8" s="248">
        <v>17</v>
      </c>
      <c r="F8" s="286"/>
      <c r="G8" s="248" t="s">
        <v>325</v>
      </c>
      <c r="H8" s="248" t="s">
        <v>181</v>
      </c>
      <c r="I8" s="249">
        <v>16400</v>
      </c>
      <c r="J8" s="248">
        <v>10</v>
      </c>
      <c r="K8" s="93"/>
      <c r="L8" s="248" t="s">
        <v>422</v>
      </c>
      <c r="M8" s="248" t="s">
        <v>165</v>
      </c>
      <c r="N8" s="249">
        <v>1306</v>
      </c>
      <c r="O8" s="248">
        <v>2</v>
      </c>
      <c r="P8" s="93"/>
      <c r="Q8" s="248" t="s">
        <v>379</v>
      </c>
      <c r="R8" s="248" t="s">
        <v>174</v>
      </c>
      <c r="S8" s="249">
        <v>7800</v>
      </c>
      <c r="T8" s="248">
        <v>1</v>
      </c>
      <c r="U8" s="93"/>
      <c r="V8" s="248" t="s">
        <v>427</v>
      </c>
      <c r="W8" s="248" t="s">
        <v>428</v>
      </c>
      <c r="X8" s="250">
        <v>25</v>
      </c>
      <c r="Y8" s="248">
        <v>10</v>
      </c>
      <c r="Z8" s="93"/>
      <c r="AA8" s="93"/>
      <c r="AB8" s="93"/>
      <c r="AC8" s="248" t="s">
        <v>494</v>
      </c>
      <c r="AD8" s="248" t="s">
        <v>495</v>
      </c>
      <c r="AE8" s="250">
        <v>16.100000000000001</v>
      </c>
      <c r="AF8" s="251">
        <v>7</v>
      </c>
      <c r="AG8" s="93"/>
      <c r="AH8" s="248" t="s">
        <v>577</v>
      </c>
      <c r="AI8" s="248" t="s">
        <v>242</v>
      </c>
      <c r="AJ8" s="250">
        <v>686.8</v>
      </c>
      <c r="AK8" s="251">
        <v>10</v>
      </c>
    </row>
    <row r="9" spans="1:37" x14ac:dyDescent="0.3">
      <c r="A9" s="536"/>
      <c r="F9" s="286"/>
      <c r="G9" s="248" t="s">
        <v>177</v>
      </c>
      <c r="H9" s="248" t="s">
        <v>181</v>
      </c>
      <c r="I9" s="249">
        <v>5898</v>
      </c>
      <c r="J9" s="248">
        <v>3</v>
      </c>
      <c r="K9" s="93"/>
      <c r="L9" s="248" t="s">
        <v>585</v>
      </c>
      <c r="M9" s="248" t="s">
        <v>165</v>
      </c>
      <c r="N9" s="249">
        <v>1306</v>
      </c>
      <c r="O9" s="248">
        <v>2</v>
      </c>
      <c r="P9" s="93"/>
      <c r="Q9" s="248" t="s">
        <v>535</v>
      </c>
      <c r="R9" s="248" t="s">
        <v>174</v>
      </c>
      <c r="S9" s="249">
        <v>4696</v>
      </c>
      <c r="T9" s="248">
        <v>4</v>
      </c>
      <c r="U9" s="93"/>
      <c r="V9" s="248" t="s">
        <v>468</v>
      </c>
      <c r="W9" s="248" t="s">
        <v>469</v>
      </c>
      <c r="X9" s="250">
        <v>42.5</v>
      </c>
      <c r="Y9" s="248">
        <v>17</v>
      </c>
      <c r="Z9" s="93"/>
      <c r="AA9" s="93"/>
      <c r="AB9" s="93"/>
      <c r="AC9" s="248" t="s">
        <v>323</v>
      </c>
      <c r="AD9" s="248" t="s">
        <v>324</v>
      </c>
      <c r="AE9" s="250">
        <v>33.700000000000003</v>
      </c>
      <c r="AF9" s="251">
        <v>7</v>
      </c>
      <c r="AG9" s="93"/>
      <c r="AH9" s="248" t="s">
        <v>350</v>
      </c>
      <c r="AI9" s="248" t="s">
        <v>242</v>
      </c>
      <c r="AJ9" s="250">
        <v>277.72000000000003</v>
      </c>
      <c r="AK9" s="251">
        <v>4</v>
      </c>
    </row>
    <row r="10" spans="1:37" x14ac:dyDescent="0.3">
      <c r="A10" s="536"/>
      <c r="F10" s="286"/>
      <c r="G10" s="248" t="s">
        <v>377</v>
      </c>
      <c r="H10" s="248" t="s">
        <v>181</v>
      </c>
      <c r="I10" s="249">
        <v>3198</v>
      </c>
      <c r="J10" s="248">
        <v>2</v>
      </c>
      <c r="K10" s="93"/>
      <c r="L10" s="248" t="s">
        <v>378</v>
      </c>
      <c r="M10" s="248" t="s">
        <v>165</v>
      </c>
      <c r="N10" s="249">
        <v>4500</v>
      </c>
      <c r="O10" s="248">
        <v>1</v>
      </c>
      <c r="P10" s="93"/>
      <c r="Q10" s="248" t="s">
        <v>485</v>
      </c>
      <c r="R10" s="248" t="s">
        <v>420</v>
      </c>
      <c r="S10" s="249">
        <v>1030</v>
      </c>
      <c r="T10" s="248">
        <v>1</v>
      </c>
      <c r="U10" s="93"/>
      <c r="V10" s="279" t="s">
        <v>516</v>
      </c>
      <c r="W10" s="279" t="s">
        <v>517</v>
      </c>
      <c r="X10" s="284">
        <v>1717.45</v>
      </c>
      <c r="Y10" s="279">
        <v>7</v>
      </c>
      <c r="Z10" s="93"/>
      <c r="AA10" s="93"/>
      <c r="AB10" s="93"/>
      <c r="AC10" s="248" t="s">
        <v>335</v>
      </c>
      <c r="AD10" s="248" t="s">
        <v>336</v>
      </c>
      <c r="AE10" s="250">
        <v>127.5</v>
      </c>
      <c r="AF10" s="251">
        <v>15</v>
      </c>
      <c r="AG10" s="93"/>
      <c r="AH10" s="248" t="s">
        <v>351</v>
      </c>
      <c r="AI10" s="248" t="s">
        <v>242</v>
      </c>
      <c r="AJ10" s="250">
        <v>169.94</v>
      </c>
      <c r="AK10" s="251">
        <v>6</v>
      </c>
    </row>
    <row r="11" spans="1:37" x14ac:dyDescent="0.3">
      <c r="A11" s="536"/>
      <c r="F11" s="286"/>
      <c r="G11" s="248" t="s">
        <v>163</v>
      </c>
      <c r="H11" s="248" t="s">
        <v>181</v>
      </c>
      <c r="I11" s="249">
        <v>33579</v>
      </c>
      <c r="J11" s="248">
        <v>21</v>
      </c>
      <c r="K11" s="93"/>
      <c r="L11" s="248" t="s">
        <v>171</v>
      </c>
      <c r="M11" s="248" t="s">
        <v>172</v>
      </c>
      <c r="N11" s="249">
        <v>16560</v>
      </c>
      <c r="O11" s="248">
        <v>27</v>
      </c>
      <c r="P11" s="93"/>
      <c r="Q11" s="248" t="s">
        <v>586</v>
      </c>
      <c r="R11" s="248" t="s">
        <v>587</v>
      </c>
      <c r="S11" s="249">
        <v>4200</v>
      </c>
      <c r="T11" s="248">
        <v>1</v>
      </c>
      <c r="U11" s="93"/>
      <c r="V11" s="248" t="s">
        <v>414</v>
      </c>
      <c r="W11" s="248" t="s">
        <v>415</v>
      </c>
      <c r="X11" s="250">
        <v>63</v>
      </c>
      <c r="Y11" s="248">
        <v>7</v>
      </c>
      <c r="Z11" s="93"/>
      <c r="AA11" s="93"/>
      <c r="AB11" s="93"/>
      <c r="AC11" s="248" t="s">
        <v>385</v>
      </c>
      <c r="AD11" s="248" t="s">
        <v>336</v>
      </c>
      <c r="AE11" s="250">
        <v>90</v>
      </c>
      <c r="AF11" s="251">
        <v>30</v>
      </c>
      <c r="AG11" s="93"/>
      <c r="AH11" s="248" t="s">
        <v>616</v>
      </c>
      <c r="AI11" s="248" t="s">
        <v>242</v>
      </c>
      <c r="AJ11" s="250">
        <v>451.84</v>
      </c>
      <c r="AK11" s="251">
        <v>12</v>
      </c>
    </row>
    <row r="12" spans="1:37" x14ac:dyDescent="0.3">
      <c r="A12" s="536"/>
      <c r="F12" s="286"/>
      <c r="G12" s="248" t="s">
        <v>195</v>
      </c>
      <c r="H12" s="248" t="s">
        <v>181</v>
      </c>
      <c r="I12" s="249">
        <v>12605</v>
      </c>
      <c r="J12" s="248">
        <v>5</v>
      </c>
      <c r="K12" s="93"/>
      <c r="L12" s="248" t="s">
        <v>192</v>
      </c>
      <c r="M12" s="248" t="s">
        <v>551</v>
      </c>
      <c r="N12" s="249">
        <v>6064</v>
      </c>
      <c r="O12" s="248">
        <v>6</v>
      </c>
      <c r="P12" s="93"/>
      <c r="Q12" s="248" t="s">
        <v>193</v>
      </c>
      <c r="R12" s="248" t="s">
        <v>423</v>
      </c>
      <c r="S12" s="249">
        <v>3522</v>
      </c>
      <c r="T12" s="248">
        <v>3</v>
      </c>
      <c r="U12" s="93"/>
      <c r="V12" s="248" t="s">
        <v>508</v>
      </c>
      <c r="W12" s="248" t="s">
        <v>509</v>
      </c>
      <c r="X12" s="250">
        <v>70</v>
      </c>
      <c r="Y12" s="248">
        <v>7</v>
      </c>
      <c r="Z12" s="93"/>
      <c r="AA12" s="93"/>
      <c r="AB12" s="93"/>
      <c r="AC12" s="248" t="s">
        <v>337</v>
      </c>
      <c r="AD12" s="248" t="s">
        <v>336</v>
      </c>
      <c r="AE12" s="250">
        <v>24</v>
      </c>
      <c r="AF12" s="251">
        <v>8</v>
      </c>
      <c r="AG12" s="93"/>
      <c r="AH12" s="248" t="s">
        <v>578</v>
      </c>
      <c r="AI12" s="248" t="s">
        <v>242</v>
      </c>
      <c r="AJ12" s="250">
        <v>82.5</v>
      </c>
      <c r="AK12" s="251">
        <v>5</v>
      </c>
    </row>
    <row r="13" spans="1:37" x14ac:dyDescent="0.3">
      <c r="A13" s="536"/>
      <c r="F13" s="286"/>
      <c r="G13" s="248" t="s">
        <v>384</v>
      </c>
      <c r="H13" s="248" t="s">
        <v>181</v>
      </c>
      <c r="I13" s="249">
        <v>7970</v>
      </c>
      <c r="J13" s="248">
        <v>2</v>
      </c>
      <c r="K13" s="93"/>
      <c r="L13" s="248" t="s">
        <v>567</v>
      </c>
      <c r="M13" s="248" t="s">
        <v>568</v>
      </c>
      <c r="N13" s="248">
        <v>55</v>
      </c>
      <c r="O13" s="248">
        <v>10</v>
      </c>
      <c r="P13" s="93"/>
      <c r="Q13" s="248" t="s">
        <v>209</v>
      </c>
      <c r="R13" s="248" t="s">
        <v>570</v>
      </c>
      <c r="S13" s="249">
        <v>2945</v>
      </c>
      <c r="T13" s="248">
        <v>1</v>
      </c>
      <c r="U13" s="93"/>
      <c r="V13" s="248" t="s">
        <v>373</v>
      </c>
      <c r="W13" s="248" t="s">
        <v>374</v>
      </c>
      <c r="X13" s="250">
        <v>249</v>
      </c>
      <c r="Y13" s="248">
        <v>30</v>
      </c>
      <c r="Z13" s="93"/>
      <c r="AA13" s="93"/>
      <c r="AB13" s="93"/>
      <c r="AC13" s="248" t="s">
        <v>602</v>
      </c>
      <c r="AD13" s="248" t="s">
        <v>336</v>
      </c>
      <c r="AE13" s="250">
        <v>36</v>
      </c>
      <c r="AF13" s="251">
        <v>8</v>
      </c>
      <c r="AG13" s="93"/>
      <c r="AH13" s="248" t="s">
        <v>617</v>
      </c>
      <c r="AI13" s="248" t="s">
        <v>242</v>
      </c>
      <c r="AJ13" s="250">
        <v>299.56</v>
      </c>
      <c r="AK13" s="251">
        <v>8</v>
      </c>
    </row>
    <row r="14" spans="1:37" x14ac:dyDescent="0.3">
      <c r="A14" s="536"/>
      <c r="F14" s="286"/>
      <c r="G14" s="93"/>
      <c r="H14" s="93"/>
      <c r="I14" s="93"/>
      <c r="J14" s="93"/>
      <c r="K14" s="93"/>
      <c r="L14" s="248" t="s">
        <v>317</v>
      </c>
      <c r="M14" s="248" t="s">
        <v>318</v>
      </c>
      <c r="N14" s="249">
        <v>2640</v>
      </c>
      <c r="O14" s="248">
        <v>1</v>
      </c>
      <c r="P14" s="93"/>
      <c r="Q14" s="248" t="s">
        <v>588</v>
      </c>
      <c r="R14" s="248" t="s">
        <v>589</v>
      </c>
      <c r="S14" s="249">
        <v>4500</v>
      </c>
      <c r="T14" s="248">
        <v>1</v>
      </c>
      <c r="U14" s="93"/>
      <c r="V14" s="248" t="s">
        <v>375</v>
      </c>
      <c r="W14" s="248" t="s">
        <v>376</v>
      </c>
      <c r="X14" s="250">
        <v>270</v>
      </c>
      <c r="Y14" s="248">
        <v>30</v>
      </c>
      <c r="Z14" s="93"/>
      <c r="AA14" s="93"/>
      <c r="AB14" s="93"/>
      <c r="AC14" s="248" t="s">
        <v>460</v>
      </c>
      <c r="AD14" s="248" t="s">
        <v>336</v>
      </c>
      <c r="AE14" s="250">
        <v>15</v>
      </c>
      <c r="AF14" s="251">
        <v>6</v>
      </c>
      <c r="AG14" s="93"/>
      <c r="AH14" s="248" t="s">
        <v>245</v>
      </c>
      <c r="AI14" s="248" t="s">
        <v>242</v>
      </c>
      <c r="AJ14" s="250">
        <v>553.6</v>
      </c>
      <c r="AK14" s="251">
        <v>9</v>
      </c>
    </row>
    <row r="15" spans="1:37" x14ac:dyDescent="0.3">
      <c r="A15" s="536"/>
      <c r="F15" s="286"/>
      <c r="G15" s="93"/>
      <c r="H15" s="93"/>
      <c r="I15" s="93"/>
      <c r="J15" s="93"/>
      <c r="K15" s="93"/>
      <c r="L15" s="91" t="s">
        <v>421</v>
      </c>
      <c r="M15" s="248" t="s">
        <v>170</v>
      </c>
      <c r="N15" s="249">
        <v>1470</v>
      </c>
      <c r="O15" s="248">
        <v>1</v>
      </c>
      <c r="P15" s="93"/>
      <c r="Q15" s="248" t="s">
        <v>198</v>
      </c>
      <c r="R15" s="248" t="s">
        <v>199</v>
      </c>
      <c r="S15" s="249">
        <v>7800</v>
      </c>
      <c r="T15" s="248">
        <v>2</v>
      </c>
      <c r="U15" s="93"/>
      <c r="V15" s="248" t="s">
        <v>369</v>
      </c>
      <c r="W15" s="248" t="s">
        <v>370</v>
      </c>
      <c r="X15" s="250">
        <v>51</v>
      </c>
      <c r="Y15" s="248">
        <v>6</v>
      </c>
      <c r="Z15" s="93"/>
      <c r="AA15" s="93"/>
      <c r="AB15" s="93"/>
      <c r="AC15" s="248" t="s">
        <v>496</v>
      </c>
      <c r="AD15" s="248" t="s">
        <v>336</v>
      </c>
      <c r="AE15" s="250">
        <v>84</v>
      </c>
      <c r="AF15" s="251">
        <v>7</v>
      </c>
      <c r="AG15" s="93"/>
      <c r="AH15" s="248" t="s">
        <v>361</v>
      </c>
      <c r="AI15" s="248" t="s">
        <v>242</v>
      </c>
      <c r="AJ15" s="250">
        <v>914.96</v>
      </c>
      <c r="AK15" s="251">
        <v>24</v>
      </c>
    </row>
    <row r="16" spans="1:37" x14ac:dyDescent="0.3">
      <c r="A16" s="536"/>
      <c r="F16" s="286"/>
      <c r="G16" s="93"/>
      <c r="H16" s="93"/>
      <c r="I16" s="93"/>
      <c r="J16" s="93"/>
      <c r="K16" s="93"/>
      <c r="L16" s="91" t="s">
        <v>550</v>
      </c>
      <c r="M16" s="248" t="s">
        <v>170</v>
      </c>
      <c r="N16" s="249">
        <v>7092</v>
      </c>
      <c r="O16" s="248">
        <v>1</v>
      </c>
      <c r="P16" s="93"/>
      <c r="Q16" s="248" t="s">
        <v>206</v>
      </c>
      <c r="R16" s="248" t="s">
        <v>207</v>
      </c>
      <c r="S16" s="249">
        <v>4200</v>
      </c>
      <c r="T16" s="248">
        <v>1</v>
      </c>
      <c r="U16" s="93"/>
      <c r="V16" s="248" t="s">
        <v>524</v>
      </c>
      <c r="W16" s="248" t="s">
        <v>436</v>
      </c>
      <c r="X16" s="250">
        <v>16.8</v>
      </c>
      <c r="Y16" s="248">
        <v>14</v>
      </c>
      <c r="Z16" s="93"/>
      <c r="AA16" s="93"/>
      <c r="AB16" s="93"/>
      <c r="AC16" s="248" t="s">
        <v>497</v>
      </c>
      <c r="AD16" s="248" t="s">
        <v>336</v>
      </c>
      <c r="AE16" s="250">
        <v>42</v>
      </c>
      <c r="AF16" s="251">
        <v>7</v>
      </c>
      <c r="AG16" s="93"/>
      <c r="AH16" s="248" t="s">
        <v>362</v>
      </c>
      <c r="AI16" s="248" t="s">
        <v>242</v>
      </c>
      <c r="AJ16" s="250">
        <v>1106.25</v>
      </c>
      <c r="AK16" s="251">
        <v>25</v>
      </c>
    </row>
    <row r="17" spans="1:37" x14ac:dyDescent="0.3">
      <c r="A17" s="536"/>
      <c r="B17" s="93"/>
      <c r="C17" s="93"/>
      <c r="D17" s="93"/>
      <c r="E17" s="93"/>
      <c r="F17" s="286"/>
      <c r="G17" s="93"/>
      <c r="H17" s="93"/>
      <c r="I17" s="93"/>
      <c r="J17" s="93"/>
      <c r="K17" s="93"/>
      <c r="P17" s="93"/>
      <c r="Q17" s="248" t="s">
        <v>196</v>
      </c>
      <c r="R17" s="248" t="s">
        <v>197</v>
      </c>
      <c r="S17" s="249">
        <v>1554.4</v>
      </c>
      <c r="T17" s="248">
        <v>2</v>
      </c>
      <c r="U17" s="93"/>
      <c r="V17" s="248" t="s">
        <v>435</v>
      </c>
      <c r="W17" s="248" t="s">
        <v>436</v>
      </c>
      <c r="X17" s="250">
        <v>49</v>
      </c>
      <c r="Y17" s="248">
        <v>7</v>
      </c>
      <c r="Z17" s="93"/>
      <c r="AA17" s="93"/>
      <c r="AB17" s="93"/>
      <c r="AC17" s="248" t="s">
        <v>461</v>
      </c>
      <c r="AD17" s="248" t="s">
        <v>336</v>
      </c>
      <c r="AE17" s="250">
        <v>94.5</v>
      </c>
      <c r="AF17" s="251">
        <v>7</v>
      </c>
      <c r="AG17" s="93"/>
      <c r="AH17" s="248" t="s">
        <v>352</v>
      </c>
      <c r="AI17" s="248" t="s">
        <v>242</v>
      </c>
      <c r="AJ17" s="250">
        <v>1294.4000000000001</v>
      </c>
      <c r="AK17" s="251">
        <v>27</v>
      </c>
    </row>
    <row r="18" spans="1:37" x14ac:dyDescent="0.3">
      <c r="A18" s="536"/>
      <c r="B18" s="93"/>
      <c r="C18" s="93"/>
      <c r="D18" s="93"/>
      <c r="E18" s="93"/>
      <c r="F18" s="286"/>
      <c r="G18" s="93"/>
      <c r="H18" s="93"/>
      <c r="I18" s="93"/>
      <c r="J18" s="93"/>
      <c r="K18" s="93"/>
      <c r="P18" s="93"/>
      <c r="Q18" s="248" t="s">
        <v>201</v>
      </c>
      <c r="R18" s="248" t="s">
        <v>202</v>
      </c>
      <c r="S18" s="249">
        <v>2036.7</v>
      </c>
      <c r="T18" s="248">
        <v>3</v>
      </c>
      <c r="U18" s="93"/>
      <c r="V18" s="248" t="s">
        <v>437</v>
      </c>
      <c r="W18" s="248" t="s">
        <v>438</v>
      </c>
      <c r="X18" s="250">
        <v>9.1</v>
      </c>
      <c r="Y18" s="248">
        <v>7</v>
      </c>
      <c r="Z18" s="93"/>
      <c r="AA18" s="93"/>
      <c r="AB18" s="93"/>
      <c r="AC18" s="248" t="s">
        <v>462</v>
      </c>
      <c r="AD18" s="248" t="s">
        <v>336</v>
      </c>
      <c r="AE18" s="250">
        <v>94.5</v>
      </c>
      <c r="AF18" s="251">
        <v>7</v>
      </c>
      <c r="AG18" s="93"/>
      <c r="AH18" s="248" t="s">
        <v>271</v>
      </c>
      <c r="AI18" s="248" t="s">
        <v>242</v>
      </c>
      <c r="AJ18" s="250">
        <v>297.52</v>
      </c>
      <c r="AK18" s="251">
        <v>12</v>
      </c>
    </row>
    <row r="19" spans="1:37" x14ac:dyDescent="0.3">
      <c r="A19" s="536"/>
      <c r="B19" s="93"/>
      <c r="C19" s="93"/>
      <c r="D19" s="93"/>
      <c r="E19" s="93"/>
      <c r="F19" s="286"/>
      <c r="G19" s="93"/>
      <c r="H19" s="93"/>
      <c r="I19" s="93"/>
      <c r="J19" s="93"/>
      <c r="K19" s="93"/>
      <c r="P19" s="93"/>
      <c r="Q19" s="91" t="s">
        <v>169</v>
      </c>
      <c r="R19" s="248" t="s">
        <v>170</v>
      </c>
      <c r="S19" s="249">
        <v>1861.6</v>
      </c>
      <c r="T19" s="248">
        <v>1</v>
      </c>
      <c r="U19" s="93"/>
      <c r="V19" s="248" t="s">
        <v>470</v>
      </c>
      <c r="W19" s="248" t="s">
        <v>471</v>
      </c>
      <c r="X19" s="250">
        <v>22.5</v>
      </c>
      <c r="Y19" s="248">
        <v>7</v>
      </c>
      <c r="Z19" s="93"/>
      <c r="AA19" s="93"/>
      <c r="AB19" s="93"/>
      <c r="AC19" s="248" t="s">
        <v>542</v>
      </c>
      <c r="AD19" s="248" t="s">
        <v>336</v>
      </c>
      <c r="AE19" s="250">
        <v>304.5</v>
      </c>
      <c r="AF19" s="251">
        <v>7</v>
      </c>
      <c r="AG19" s="93"/>
      <c r="AH19" s="248" t="s">
        <v>363</v>
      </c>
      <c r="AI19" s="248" t="s">
        <v>242</v>
      </c>
      <c r="AJ19" s="250">
        <v>159</v>
      </c>
      <c r="AK19" s="251">
        <v>14</v>
      </c>
    </row>
    <row r="20" spans="1:37" x14ac:dyDescent="0.3">
      <c r="A20" s="536"/>
      <c r="B20" s="93"/>
      <c r="C20" s="93"/>
      <c r="D20" s="93"/>
      <c r="E20" s="93"/>
      <c r="F20" s="286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209" t="s">
        <v>191</v>
      </c>
      <c r="R20" s="248" t="s">
        <v>170</v>
      </c>
      <c r="S20" s="249">
        <v>6202</v>
      </c>
      <c r="T20" s="248">
        <v>1</v>
      </c>
      <c r="U20" s="93"/>
      <c r="V20" s="248" t="s">
        <v>502</v>
      </c>
      <c r="W20" s="248" t="s">
        <v>503</v>
      </c>
      <c r="X20" s="250">
        <v>486</v>
      </c>
      <c r="Y20" s="248">
        <v>54</v>
      </c>
      <c r="Z20" s="93"/>
      <c r="AA20" s="93"/>
      <c r="AB20" s="93"/>
      <c r="AC20" s="248" t="s">
        <v>558</v>
      </c>
      <c r="AD20" s="248" t="s">
        <v>205</v>
      </c>
      <c r="AE20" s="250">
        <v>270</v>
      </c>
      <c r="AF20" s="251">
        <v>1</v>
      </c>
      <c r="AG20" s="93"/>
      <c r="AH20" s="248" t="s">
        <v>353</v>
      </c>
      <c r="AI20" s="248" t="s">
        <v>242</v>
      </c>
      <c r="AJ20" s="250">
        <v>455</v>
      </c>
      <c r="AK20" s="251">
        <v>40</v>
      </c>
    </row>
    <row r="21" spans="1:37" x14ac:dyDescent="0.3">
      <c r="A21" s="536"/>
      <c r="B21" s="93"/>
      <c r="C21" s="93"/>
      <c r="D21" s="93"/>
      <c r="E21" s="93"/>
      <c r="F21" s="286"/>
      <c r="G21" s="93"/>
      <c r="H21" s="93"/>
      <c r="I21" s="93"/>
      <c r="J21" s="93"/>
      <c r="K21" s="93"/>
      <c r="L21" s="93"/>
      <c r="O21" s="93"/>
      <c r="P21" s="93"/>
      <c r="Q21" s="91" t="s">
        <v>200</v>
      </c>
      <c r="R21" s="248" t="s">
        <v>170</v>
      </c>
      <c r="S21" s="249">
        <v>3633</v>
      </c>
      <c r="T21" s="248">
        <v>3</v>
      </c>
      <c r="U21" s="93"/>
      <c r="V21" s="248" t="s">
        <v>439</v>
      </c>
      <c r="W21" s="248" t="s">
        <v>440</v>
      </c>
      <c r="X21" s="250">
        <v>46.9</v>
      </c>
      <c r="Y21" s="248">
        <v>7</v>
      </c>
      <c r="Z21" s="93"/>
      <c r="AA21" s="93"/>
      <c r="AB21" s="93"/>
      <c r="AC21" s="248" t="s">
        <v>498</v>
      </c>
      <c r="AD21" s="248" t="s">
        <v>205</v>
      </c>
      <c r="AE21" s="250">
        <v>221</v>
      </c>
      <c r="AF21" s="251">
        <v>34</v>
      </c>
      <c r="AG21" s="93"/>
      <c r="AH21" s="248" t="s">
        <v>354</v>
      </c>
      <c r="AI21" s="248" t="s">
        <v>242</v>
      </c>
      <c r="AJ21" s="250">
        <v>219</v>
      </c>
      <c r="AK21" s="251">
        <v>19</v>
      </c>
    </row>
    <row r="22" spans="1:37" x14ac:dyDescent="0.3">
      <c r="A22" s="536"/>
      <c r="B22" s="93"/>
      <c r="C22" s="93"/>
      <c r="D22" s="93"/>
      <c r="E22" s="93"/>
      <c r="F22" s="286"/>
      <c r="G22" s="93"/>
      <c r="H22" s="93"/>
      <c r="I22" s="93"/>
      <c r="J22" s="93"/>
      <c r="K22" s="93"/>
      <c r="L22" s="93"/>
      <c r="O22" s="93"/>
      <c r="P22" s="93"/>
      <c r="Q22" s="91" t="s">
        <v>419</v>
      </c>
      <c r="R22" s="248" t="s">
        <v>162</v>
      </c>
      <c r="S22" s="249">
        <v>1140</v>
      </c>
      <c r="T22" s="248">
        <v>1</v>
      </c>
      <c r="U22" s="93"/>
      <c r="V22" s="279" t="s">
        <v>554</v>
      </c>
      <c r="W22" s="279" t="s">
        <v>555</v>
      </c>
      <c r="X22" s="284">
        <v>2072</v>
      </c>
      <c r="Y22" s="279">
        <v>25</v>
      </c>
      <c r="Z22" s="93"/>
      <c r="AA22" s="93"/>
      <c r="AB22" s="93"/>
      <c r="AC22" s="248" t="s">
        <v>500</v>
      </c>
      <c r="AD22" s="248" t="s">
        <v>205</v>
      </c>
      <c r="AE22" s="250">
        <v>214.5</v>
      </c>
      <c r="AF22" s="251">
        <v>33</v>
      </c>
      <c r="AG22" s="93"/>
      <c r="AH22" s="248" t="s">
        <v>294</v>
      </c>
      <c r="AI22" s="248" t="s">
        <v>242</v>
      </c>
      <c r="AJ22" s="250">
        <v>123.6</v>
      </c>
      <c r="AK22" s="251">
        <v>3</v>
      </c>
    </row>
    <row r="23" spans="1:37" x14ac:dyDescent="0.3">
      <c r="A23" s="536"/>
      <c r="B23" s="93"/>
      <c r="C23" s="93"/>
      <c r="D23" s="93"/>
      <c r="E23" s="93"/>
      <c r="F23" s="286"/>
      <c r="G23" s="93"/>
      <c r="H23" s="93"/>
      <c r="I23" s="93"/>
      <c r="J23" s="93"/>
      <c r="K23" s="93"/>
      <c r="L23" s="93"/>
      <c r="O23" s="93"/>
      <c r="P23" s="93"/>
      <c r="Q23" s="91" t="s">
        <v>334</v>
      </c>
      <c r="R23" s="248" t="s">
        <v>170</v>
      </c>
      <c r="S23" s="249">
        <v>1589</v>
      </c>
      <c r="T23" s="248">
        <v>1</v>
      </c>
      <c r="U23" s="93"/>
      <c r="V23" s="248" t="s">
        <v>441</v>
      </c>
      <c r="W23" s="248" t="s">
        <v>442</v>
      </c>
      <c r="X23" s="250">
        <v>17.5</v>
      </c>
      <c r="Y23" s="248">
        <v>7</v>
      </c>
      <c r="Z23" s="93"/>
      <c r="AA23" s="93"/>
      <c r="AB23" s="93"/>
      <c r="AC23" s="248" t="s">
        <v>204</v>
      </c>
      <c r="AD23" s="248" t="s">
        <v>205</v>
      </c>
      <c r="AE23" s="250">
        <v>135.6</v>
      </c>
      <c r="AF23" s="251">
        <v>10</v>
      </c>
      <c r="AG23" s="93"/>
      <c r="AH23" s="248" t="s">
        <v>355</v>
      </c>
      <c r="AI23" s="248" t="s">
        <v>242</v>
      </c>
      <c r="AJ23" s="250">
        <v>1371.35</v>
      </c>
      <c r="AK23" s="251">
        <v>19</v>
      </c>
    </row>
    <row r="24" spans="1:37" ht="16.2" x14ac:dyDescent="0.3">
      <c r="A24" s="536"/>
      <c r="B24" s="93"/>
      <c r="C24" s="93"/>
      <c r="D24" s="93"/>
      <c r="E24" s="93"/>
      <c r="F24" s="286"/>
      <c r="G24" s="93"/>
      <c r="H24" s="93"/>
      <c r="I24" s="93"/>
      <c r="J24" s="93"/>
      <c r="K24" s="93"/>
      <c r="L24" s="93"/>
      <c r="M24" s="329" t="s">
        <v>893</v>
      </c>
      <c r="N24" s="330">
        <v>953892</v>
      </c>
      <c r="O24" s="93"/>
      <c r="P24" s="93"/>
      <c r="Q24" s="91" t="s">
        <v>188</v>
      </c>
      <c r="R24" s="248" t="s">
        <v>170</v>
      </c>
      <c r="S24" s="249">
        <v>7092</v>
      </c>
      <c r="T24" s="248">
        <v>1</v>
      </c>
      <c r="U24" s="93"/>
      <c r="V24" s="248" t="s">
        <v>573</v>
      </c>
      <c r="W24" s="248" t="s">
        <v>574</v>
      </c>
      <c r="X24" s="253">
        <v>119</v>
      </c>
      <c r="Y24" s="253">
        <v>7</v>
      </c>
      <c r="Z24" s="93"/>
      <c r="AA24" s="93"/>
      <c r="AB24" s="93"/>
      <c r="AC24" s="248" t="s">
        <v>342</v>
      </c>
      <c r="AD24" s="248" t="s">
        <v>205</v>
      </c>
      <c r="AE24" s="250">
        <v>207</v>
      </c>
      <c r="AF24" s="251">
        <v>46</v>
      </c>
      <c r="AG24" s="93"/>
      <c r="AH24" s="248" t="s">
        <v>356</v>
      </c>
      <c r="AI24" s="248" t="s">
        <v>242</v>
      </c>
      <c r="AJ24" s="250">
        <v>803.85</v>
      </c>
      <c r="AK24" s="251">
        <v>13</v>
      </c>
    </row>
    <row r="25" spans="1:37" x14ac:dyDescent="0.3">
      <c r="A25" s="536"/>
      <c r="B25" s="93"/>
      <c r="C25" s="93"/>
      <c r="D25" s="93"/>
      <c r="E25" s="93"/>
      <c r="F25" s="286"/>
      <c r="G25" s="93"/>
      <c r="H25" s="93"/>
      <c r="I25" s="93"/>
      <c r="J25" s="93"/>
      <c r="K25" s="93"/>
      <c r="L25" s="93"/>
      <c r="M25" s="329" t="s">
        <v>894</v>
      </c>
      <c r="N25" s="330">
        <v>142327.5</v>
      </c>
      <c r="O25" s="93"/>
      <c r="P25" s="93"/>
      <c r="U25" s="93"/>
      <c r="V25" s="248" t="s">
        <v>338</v>
      </c>
      <c r="W25" s="248" t="s">
        <v>339</v>
      </c>
      <c r="X25" s="248">
        <v>115</v>
      </c>
      <c r="Y25" s="248">
        <v>10</v>
      </c>
      <c r="Z25" s="93"/>
      <c r="AA25" s="93"/>
      <c r="AB25" s="93"/>
      <c r="AC25" s="248" t="s">
        <v>425</v>
      </c>
      <c r="AD25" s="248" t="s">
        <v>205</v>
      </c>
      <c r="AE25" s="250">
        <v>19.8</v>
      </c>
      <c r="AF25" s="251">
        <v>6</v>
      </c>
      <c r="AG25" s="93"/>
      <c r="AH25" s="248" t="s">
        <v>520</v>
      </c>
      <c r="AI25" s="248" t="s">
        <v>242</v>
      </c>
      <c r="AJ25" s="250">
        <v>343.24</v>
      </c>
      <c r="AK25" s="251">
        <v>8</v>
      </c>
    </row>
    <row r="26" spans="1:37" x14ac:dyDescent="0.3">
      <c r="A26" s="536"/>
      <c r="B26" s="93"/>
      <c r="C26" s="93"/>
      <c r="D26" s="93"/>
      <c r="E26" s="93"/>
      <c r="F26" s="286"/>
      <c r="G26" s="93"/>
      <c r="H26" s="93"/>
      <c r="I26" s="93"/>
      <c r="J26" s="93"/>
      <c r="M26" s="329" t="s">
        <v>895</v>
      </c>
      <c r="N26" s="330">
        <v>110164.546</v>
      </c>
      <c r="O26" s="93"/>
      <c r="P26" s="93"/>
      <c r="Q26" s="93"/>
      <c r="R26" s="93"/>
      <c r="S26" s="93"/>
      <c r="T26" s="93"/>
      <c r="U26" s="93"/>
      <c r="V26" s="248" t="s">
        <v>340</v>
      </c>
      <c r="W26" s="248" t="s">
        <v>341</v>
      </c>
      <c r="X26" s="248">
        <v>28</v>
      </c>
      <c r="Y26" s="248">
        <v>7</v>
      </c>
      <c r="Z26" s="93"/>
      <c r="AA26" s="93"/>
      <c r="AB26" s="93"/>
      <c r="AC26" s="248" t="s">
        <v>208</v>
      </c>
      <c r="AD26" s="248" t="s">
        <v>205</v>
      </c>
      <c r="AE26" s="250">
        <v>11.2</v>
      </c>
      <c r="AF26" s="251">
        <v>4</v>
      </c>
      <c r="AG26" s="93"/>
      <c r="AH26" s="248" t="s">
        <v>579</v>
      </c>
      <c r="AI26" s="248" t="s">
        <v>242</v>
      </c>
      <c r="AJ26" s="250">
        <v>27.44</v>
      </c>
      <c r="AK26" s="251">
        <v>1</v>
      </c>
    </row>
    <row r="27" spans="1:37" x14ac:dyDescent="0.3">
      <c r="A27" s="536"/>
      <c r="B27" s="93"/>
      <c r="C27" s="93"/>
      <c r="D27" s="93"/>
      <c r="E27" s="93"/>
      <c r="F27" s="286"/>
      <c r="G27" s="93"/>
      <c r="H27" s="93"/>
      <c r="I27" s="93"/>
      <c r="J27" s="93"/>
      <c r="M27" s="329" t="s">
        <v>896</v>
      </c>
      <c r="N27" s="330">
        <v>119406.5</v>
      </c>
      <c r="P27" s="93"/>
      <c r="Q27" s="93"/>
      <c r="R27" s="93"/>
      <c r="S27" s="93"/>
      <c r="T27" s="93"/>
      <c r="U27" s="93"/>
      <c r="V27" s="248" t="s">
        <v>575</v>
      </c>
      <c r="W27" s="248" t="s">
        <v>576</v>
      </c>
      <c r="X27" s="248">
        <v>52.5</v>
      </c>
      <c r="Y27" s="248">
        <v>7</v>
      </c>
      <c r="Z27" s="93"/>
      <c r="AA27" s="93"/>
      <c r="AB27" s="93"/>
      <c r="AC27" s="248" t="s">
        <v>190</v>
      </c>
      <c r="AD27" s="248" t="s">
        <v>205</v>
      </c>
      <c r="AE27" s="250">
        <v>56</v>
      </c>
      <c r="AF27" s="251">
        <v>8</v>
      </c>
      <c r="AG27" s="93"/>
      <c r="AH27" s="248" t="s">
        <v>618</v>
      </c>
      <c r="AI27" s="248" t="s">
        <v>242</v>
      </c>
      <c r="AJ27" s="250">
        <v>56.47</v>
      </c>
      <c r="AK27" s="251">
        <v>1</v>
      </c>
    </row>
    <row r="28" spans="1:37" x14ac:dyDescent="0.3">
      <c r="A28" s="536"/>
      <c r="B28" s="93"/>
      <c r="C28" s="93"/>
      <c r="D28" s="93"/>
      <c r="E28" s="93"/>
      <c r="F28" s="286"/>
      <c r="G28" s="93"/>
      <c r="H28" s="93"/>
      <c r="I28" s="93"/>
      <c r="J28" s="93"/>
      <c r="M28" s="329" t="s">
        <v>897</v>
      </c>
      <c r="N28" s="330">
        <v>56314.400000000001</v>
      </c>
      <c r="O28" s="93"/>
      <c r="P28" s="93"/>
      <c r="Q28" s="93"/>
      <c r="R28" s="93"/>
      <c r="S28" s="93"/>
      <c r="T28" s="93"/>
      <c r="U28" s="93"/>
      <c r="V28" s="248" t="s">
        <v>599</v>
      </c>
      <c r="W28" s="248" t="s">
        <v>311</v>
      </c>
      <c r="X28" s="248">
        <v>22.6</v>
      </c>
      <c r="Y28" s="248">
        <v>8</v>
      </c>
      <c r="Z28" s="93"/>
      <c r="AA28" s="93"/>
      <c r="AB28" s="93"/>
      <c r="AC28" s="248" t="s">
        <v>388</v>
      </c>
      <c r="AD28" s="248" t="s">
        <v>205</v>
      </c>
      <c r="AE28" s="250">
        <v>123.5</v>
      </c>
      <c r="AF28" s="251">
        <v>13</v>
      </c>
      <c r="AG28" s="93"/>
      <c r="AH28" s="248" t="s">
        <v>619</v>
      </c>
      <c r="AI28" s="248" t="s">
        <v>242</v>
      </c>
      <c r="AJ28" s="250">
        <v>64.47</v>
      </c>
      <c r="AK28" s="251">
        <v>1</v>
      </c>
    </row>
    <row r="29" spans="1:37" x14ac:dyDescent="0.3">
      <c r="A29" s="536"/>
      <c r="B29" s="93"/>
      <c r="C29" s="93"/>
      <c r="D29" s="93"/>
      <c r="E29" s="93"/>
      <c r="F29" s="286"/>
      <c r="G29" s="93"/>
      <c r="H29" s="93"/>
      <c r="I29" s="93"/>
      <c r="J29" s="93"/>
      <c r="M29" s="329" t="s">
        <v>898</v>
      </c>
      <c r="N29" s="330">
        <v>61195.6</v>
      </c>
      <c r="O29" s="93"/>
      <c r="P29" s="93"/>
      <c r="Q29" s="93"/>
      <c r="R29" s="93"/>
      <c r="S29" s="93"/>
      <c r="T29" s="93"/>
      <c r="U29" s="93"/>
      <c r="V29" s="248" t="s">
        <v>600</v>
      </c>
      <c r="W29" s="248" t="s">
        <v>556</v>
      </c>
      <c r="X29" s="248">
        <v>20.8</v>
      </c>
      <c r="Y29" s="248">
        <v>16</v>
      </c>
      <c r="Z29" s="93"/>
      <c r="AA29" s="93"/>
      <c r="AB29" s="93"/>
      <c r="AC29" s="248" t="s">
        <v>386</v>
      </c>
      <c r="AD29" s="248" t="s">
        <v>205</v>
      </c>
      <c r="AE29" s="250">
        <v>45.5</v>
      </c>
      <c r="AF29" s="251">
        <v>13</v>
      </c>
      <c r="AG29" s="93"/>
      <c r="AH29" s="248" t="s">
        <v>288</v>
      </c>
      <c r="AI29" s="248" t="s">
        <v>242</v>
      </c>
      <c r="AJ29" s="250">
        <v>117.6</v>
      </c>
      <c r="AK29" s="251">
        <v>3</v>
      </c>
    </row>
    <row r="30" spans="1:37" x14ac:dyDescent="0.3">
      <c r="A30" s="536"/>
      <c r="B30" s="93"/>
      <c r="C30" s="93"/>
      <c r="D30" s="93"/>
      <c r="E30" s="93"/>
      <c r="F30" s="286"/>
      <c r="G30" s="93"/>
      <c r="H30" s="93"/>
      <c r="I30" s="93"/>
      <c r="J30" s="93"/>
      <c r="M30" s="329" t="s">
        <v>899</v>
      </c>
      <c r="N30" s="330">
        <v>186939</v>
      </c>
      <c r="O30" s="93"/>
      <c r="P30" s="93"/>
      <c r="Q30" s="93"/>
      <c r="R30" s="93"/>
      <c r="S30" s="93"/>
      <c r="T30" s="93"/>
      <c r="U30" s="93"/>
      <c r="V30" s="248" t="s">
        <v>381</v>
      </c>
      <c r="W30" s="248" t="s">
        <v>382</v>
      </c>
      <c r="X30" s="248">
        <v>65.8</v>
      </c>
      <c r="Y30" s="248">
        <v>8</v>
      </c>
      <c r="Z30" s="93"/>
      <c r="AA30" s="93"/>
      <c r="AB30" s="93"/>
      <c r="AC30" s="248" t="s">
        <v>541</v>
      </c>
      <c r="AD30" s="248" t="s">
        <v>205</v>
      </c>
      <c r="AE30" s="250">
        <v>63</v>
      </c>
      <c r="AF30" s="251">
        <v>9</v>
      </c>
      <c r="AG30" s="93"/>
      <c r="AH30" s="248" t="s">
        <v>290</v>
      </c>
      <c r="AI30" s="248" t="s">
        <v>242</v>
      </c>
      <c r="AJ30" s="250">
        <v>209.54</v>
      </c>
      <c r="AK30" s="251">
        <v>3</v>
      </c>
    </row>
    <row r="31" spans="1:37" x14ac:dyDescent="0.3">
      <c r="A31" s="536"/>
      <c r="B31" s="93"/>
      <c r="C31" s="93"/>
      <c r="D31" s="93"/>
      <c r="E31" s="93"/>
      <c r="F31" s="286"/>
      <c r="G31" s="93"/>
      <c r="H31" s="93"/>
      <c r="I31" s="93"/>
      <c r="J31" s="93"/>
      <c r="M31" s="329" t="s">
        <v>900</v>
      </c>
      <c r="N31" s="330">
        <v>468510</v>
      </c>
      <c r="O31" s="93"/>
      <c r="P31" s="93"/>
      <c r="Q31" s="93"/>
      <c r="R31" s="93"/>
      <c r="S31" s="93"/>
      <c r="T31" s="93"/>
      <c r="U31" s="93"/>
      <c r="V31" s="248" t="s">
        <v>486</v>
      </c>
      <c r="W31" s="248" t="s">
        <v>487</v>
      </c>
      <c r="X31" s="248">
        <v>375</v>
      </c>
      <c r="Y31" s="248">
        <v>5</v>
      </c>
      <c r="Z31" s="93"/>
      <c r="AA31" s="93"/>
      <c r="AB31" s="93"/>
      <c r="AC31" s="248" t="s">
        <v>343</v>
      </c>
      <c r="AD31" s="248" t="s">
        <v>205</v>
      </c>
      <c r="AE31" s="250">
        <v>94.95</v>
      </c>
      <c r="AF31" s="251">
        <v>15</v>
      </c>
      <c r="AG31" s="93"/>
      <c r="AH31" s="248" t="s">
        <v>357</v>
      </c>
      <c r="AI31" s="248" t="s">
        <v>242</v>
      </c>
      <c r="AJ31" s="250">
        <v>419.08</v>
      </c>
      <c r="AK31" s="251">
        <v>6</v>
      </c>
    </row>
    <row r="32" spans="1:37" x14ac:dyDescent="0.3">
      <c r="A32" s="536"/>
      <c r="B32" s="93"/>
      <c r="C32" s="93"/>
      <c r="D32" s="93"/>
      <c r="E32" s="93"/>
      <c r="F32" s="286"/>
      <c r="G32" s="93"/>
      <c r="H32" s="93"/>
      <c r="I32" s="93"/>
      <c r="J32" s="93"/>
      <c r="M32" s="329" t="s">
        <v>901</v>
      </c>
      <c r="N32" s="330">
        <v>51495.199999999997</v>
      </c>
      <c r="O32" s="93"/>
      <c r="P32" s="93"/>
      <c r="Q32" s="93"/>
      <c r="R32" s="93"/>
      <c r="S32" s="93"/>
      <c r="T32" s="93"/>
      <c r="U32" s="93"/>
      <c r="V32" s="248" t="s">
        <v>488</v>
      </c>
      <c r="W32" s="248" t="s">
        <v>489</v>
      </c>
      <c r="X32" s="248">
        <v>24.5</v>
      </c>
      <c r="Y32" s="248">
        <v>7</v>
      </c>
      <c r="Z32" s="93"/>
      <c r="AA32" s="93"/>
      <c r="AB32" s="93"/>
      <c r="AC32" s="248" t="s">
        <v>235</v>
      </c>
      <c r="AD32" s="248" t="s">
        <v>205</v>
      </c>
      <c r="AE32" s="250">
        <v>84</v>
      </c>
      <c r="AF32" s="251">
        <v>12</v>
      </c>
      <c r="AG32" s="93"/>
      <c r="AH32" s="248" t="s">
        <v>358</v>
      </c>
      <c r="AI32" s="248" t="s">
        <v>242</v>
      </c>
      <c r="AJ32" s="250">
        <v>477.33</v>
      </c>
      <c r="AK32" s="251">
        <v>17</v>
      </c>
    </row>
    <row r="33" spans="1:37" x14ac:dyDescent="0.3">
      <c r="A33" s="536"/>
      <c r="B33" s="93"/>
      <c r="C33" s="93"/>
      <c r="D33" s="93"/>
      <c r="E33" s="93"/>
      <c r="F33" s="286"/>
      <c r="G33" s="93"/>
      <c r="H33" s="93"/>
      <c r="I33" s="93"/>
      <c r="J33" s="93"/>
      <c r="M33" s="329" t="s">
        <v>902</v>
      </c>
      <c r="N33" s="330">
        <v>74876</v>
      </c>
      <c r="O33" s="93"/>
      <c r="P33" s="93"/>
      <c r="Q33" s="93"/>
      <c r="R33" s="93"/>
      <c r="S33" s="93"/>
      <c r="T33" s="93"/>
      <c r="U33" s="93"/>
      <c r="V33" s="93"/>
      <c r="W33" s="93"/>
      <c r="X33" s="208"/>
      <c r="Y33" s="93"/>
      <c r="Z33" s="93"/>
      <c r="AA33" s="93"/>
      <c r="AB33" s="93"/>
      <c r="AC33" s="248" t="s">
        <v>559</v>
      </c>
      <c r="AD33" s="248" t="s">
        <v>205</v>
      </c>
      <c r="AE33" s="250">
        <v>370</v>
      </c>
      <c r="AF33" s="251">
        <v>2</v>
      </c>
      <c r="AG33" s="93"/>
      <c r="AH33" s="248" t="s">
        <v>359</v>
      </c>
      <c r="AI33" s="248" t="s">
        <v>242</v>
      </c>
      <c r="AJ33" s="250">
        <v>585.20000000000005</v>
      </c>
      <c r="AK33" s="251">
        <v>28</v>
      </c>
    </row>
    <row r="34" spans="1:37" x14ac:dyDescent="0.3">
      <c r="A34" s="536"/>
      <c r="B34" s="93"/>
      <c r="C34" s="93"/>
      <c r="D34" s="93"/>
      <c r="E34" s="93"/>
      <c r="F34" s="286"/>
      <c r="G34" s="93"/>
      <c r="H34" s="93"/>
      <c r="I34" s="93"/>
      <c r="J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208"/>
      <c r="Y34" s="93"/>
      <c r="Z34" s="93"/>
      <c r="AA34" s="93"/>
      <c r="AB34" s="93"/>
      <c r="AC34" s="248" t="s">
        <v>344</v>
      </c>
      <c r="AD34" s="248" t="s">
        <v>205</v>
      </c>
      <c r="AE34" s="250">
        <v>78.75</v>
      </c>
      <c r="AF34" s="251">
        <v>18</v>
      </c>
      <c r="AG34" s="93"/>
      <c r="AH34" s="248" t="s">
        <v>360</v>
      </c>
      <c r="AI34" s="248" t="s">
        <v>242</v>
      </c>
      <c r="AJ34" s="250">
        <v>32.49</v>
      </c>
      <c r="AK34" s="251">
        <v>1</v>
      </c>
    </row>
    <row r="35" spans="1:37" x14ac:dyDescent="0.3">
      <c r="A35" s="536"/>
      <c r="B35" s="93"/>
      <c r="C35" s="93"/>
      <c r="D35" s="93"/>
      <c r="E35" s="93"/>
      <c r="F35" s="286"/>
      <c r="G35" s="93"/>
      <c r="H35" s="93"/>
      <c r="I35" s="93"/>
      <c r="J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208"/>
      <c r="Y35" s="93"/>
      <c r="Z35" s="93"/>
      <c r="AA35" s="93"/>
      <c r="AB35" s="93"/>
      <c r="AC35" s="248" t="s">
        <v>387</v>
      </c>
      <c r="AD35" s="248" t="s">
        <v>205</v>
      </c>
      <c r="AE35" s="250">
        <v>12</v>
      </c>
      <c r="AF35" s="251">
        <v>4</v>
      </c>
      <c r="AG35" s="93"/>
      <c r="AH35" s="248" t="s">
        <v>580</v>
      </c>
      <c r="AI35" s="248" t="s">
        <v>242</v>
      </c>
      <c r="AJ35" s="250">
        <v>377.9</v>
      </c>
      <c r="AK35" s="251">
        <v>10</v>
      </c>
    </row>
    <row r="36" spans="1:37" x14ac:dyDescent="0.3">
      <c r="A36" s="536"/>
      <c r="B36" s="93"/>
      <c r="C36" s="93"/>
      <c r="D36" s="93"/>
      <c r="E36" s="93"/>
      <c r="F36" s="286"/>
      <c r="G36" s="93"/>
      <c r="H36" s="93"/>
      <c r="I36" s="93"/>
      <c r="J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208"/>
      <c r="Y36" s="93"/>
      <c r="Z36" s="93"/>
      <c r="AA36" s="93"/>
      <c r="AB36" s="93"/>
      <c r="AC36" s="248" t="s">
        <v>210</v>
      </c>
      <c r="AD36" s="248" t="s">
        <v>205</v>
      </c>
      <c r="AE36" s="250">
        <v>225.5</v>
      </c>
      <c r="AF36" s="251">
        <v>41</v>
      </c>
      <c r="AG36" s="93"/>
      <c r="AH36" s="248" t="s">
        <v>581</v>
      </c>
      <c r="AI36" s="248" t="s">
        <v>242</v>
      </c>
      <c r="AJ36" s="250">
        <v>377.9</v>
      </c>
      <c r="AK36" s="251">
        <v>10</v>
      </c>
    </row>
    <row r="37" spans="1:37" x14ac:dyDescent="0.3">
      <c r="A37" s="536"/>
      <c r="B37" s="93"/>
      <c r="C37" s="93"/>
      <c r="D37" s="252"/>
      <c r="E37" s="93"/>
      <c r="F37" s="286"/>
      <c r="G37" s="93"/>
      <c r="H37" s="93"/>
      <c r="I37" s="93"/>
      <c r="J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248" t="s">
        <v>603</v>
      </c>
      <c r="AD37" s="248" t="s">
        <v>205</v>
      </c>
      <c r="AE37" s="250">
        <v>28</v>
      </c>
      <c r="AF37" s="251">
        <v>4</v>
      </c>
      <c r="AG37" s="93"/>
      <c r="AH37" s="248" t="s">
        <v>582</v>
      </c>
      <c r="AI37" s="248" t="s">
        <v>242</v>
      </c>
      <c r="AJ37" s="250">
        <v>1128.7</v>
      </c>
      <c r="AK37" s="251">
        <v>30</v>
      </c>
    </row>
    <row r="38" spans="1:37" x14ac:dyDescent="0.3">
      <c r="A38" s="536"/>
      <c r="B38" s="93"/>
      <c r="C38" s="93"/>
      <c r="D38" s="252"/>
      <c r="E38" s="93"/>
      <c r="F38" s="286"/>
      <c r="G38" s="93"/>
      <c r="H38" s="93"/>
      <c r="I38" s="93"/>
      <c r="J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248" t="s">
        <v>416</v>
      </c>
      <c r="AD38" s="248" t="s">
        <v>205</v>
      </c>
      <c r="AE38" s="250">
        <v>96</v>
      </c>
      <c r="AF38" s="251">
        <v>6</v>
      </c>
      <c r="AG38" s="93"/>
      <c r="AH38" s="248" t="s">
        <v>295</v>
      </c>
      <c r="AI38" s="248" t="s">
        <v>242</v>
      </c>
      <c r="AJ38" s="250">
        <v>251.5</v>
      </c>
      <c r="AK38" s="251">
        <v>5</v>
      </c>
    </row>
    <row r="39" spans="1:37" x14ac:dyDescent="0.3">
      <c r="A39" s="536"/>
      <c r="B39" s="93"/>
      <c r="C39" s="93"/>
      <c r="D39" s="252"/>
      <c r="E39" s="93"/>
      <c r="F39" s="286"/>
      <c r="G39" s="93"/>
      <c r="H39" s="93"/>
      <c r="I39" s="93"/>
      <c r="J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248" t="s">
        <v>305</v>
      </c>
      <c r="AD39" s="248" t="s">
        <v>205</v>
      </c>
      <c r="AE39" s="250">
        <v>1170</v>
      </c>
      <c r="AF39" s="251">
        <v>117</v>
      </c>
      <c r="AG39" s="93"/>
      <c r="AH39" s="248" t="s">
        <v>394</v>
      </c>
      <c r="AI39" s="248" t="s">
        <v>242</v>
      </c>
      <c r="AJ39" s="250">
        <v>946.7</v>
      </c>
      <c r="AK39" s="251">
        <v>19</v>
      </c>
    </row>
    <row r="40" spans="1:37" x14ac:dyDescent="0.3">
      <c r="A40" s="536"/>
      <c r="B40" s="93"/>
      <c r="C40" s="93"/>
      <c r="D40" s="252"/>
      <c r="E40" s="93"/>
      <c r="F40" s="286"/>
      <c r="G40" s="252"/>
      <c r="H40" s="93"/>
      <c r="I40" s="93"/>
      <c r="J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248" t="s">
        <v>401</v>
      </c>
      <c r="AD40" s="248" t="s">
        <v>205</v>
      </c>
      <c r="AE40" s="250">
        <v>320</v>
      </c>
      <c r="AF40" s="251">
        <v>32</v>
      </c>
      <c r="AG40" s="93"/>
      <c r="AH40" s="248" t="s">
        <v>273</v>
      </c>
      <c r="AI40" s="248" t="s">
        <v>242</v>
      </c>
      <c r="AJ40" s="250">
        <v>380</v>
      </c>
      <c r="AK40" s="251">
        <v>5</v>
      </c>
    </row>
    <row r="41" spans="1:37" x14ac:dyDescent="0.3">
      <c r="A41" s="536"/>
      <c r="B41" s="93"/>
      <c r="C41" s="93"/>
      <c r="D41" s="252"/>
      <c r="E41" s="93"/>
      <c r="F41" s="286"/>
      <c r="G41" s="252"/>
      <c r="H41" s="93"/>
      <c r="I41" s="93"/>
      <c r="J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248" t="s">
        <v>400</v>
      </c>
      <c r="AD41" s="248" t="s">
        <v>205</v>
      </c>
      <c r="AE41" s="250">
        <v>320</v>
      </c>
      <c r="AF41" s="251">
        <v>32</v>
      </c>
      <c r="AG41" s="93"/>
      <c r="AH41" s="248" t="s">
        <v>395</v>
      </c>
      <c r="AI41" s="248" t="s">
        <v>242</v>
      </c>
      <c r="AJ41" s="250">
        <v>760</v>
      </c>
      <c r="AK41" s="251">
        <v>10</v>
      </c>
    </row>
    <row r="42" spans="1:37" ht="17.399999999999999" x14ac:dyDescent="0.35">
      <c r="A42" s="536"/>
      <c r="B42" s="164"/>
      <c r="C42" s="164"/>
      <c r="D42" s="165"/>
      <c r="E42" s="164"/>
      <c r="F42" s="287"/>
      <c r="G42" s="164"/>
      <c r="H42" s="164"/>
      <c r="I42" s="164"/>
      <c r="J42" s="164"/>
      <c r="L42" s="93"/>
      <c r="M42" s="93"/>
      <c r="N42" s="93"/>
      <c r="O42" s="93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93"/>
      <c r="AC42" s="248" t="s">
        <v>214</v>
      </c>
      <c r="AD42" s="248" t="s">
        <v>205</v>
      </c>
      <c r="AE42" s="250">
        <v>775</v>
      </c>
      <c r="AF42" s="251">
        <v>31</v>
      </c>
      <c r="AG42" s="93"/>
      <c r="AH42" s="248" t="s">
        <v>293</v>
      </c>
      <c r="AI42" s="248" t="s">
        <v>242</v>
      </c>
      <c r="AJ42" s="250">
        <v>1017.28</v>
      </c>
      <c r="AK42" s="251">
        <v>12</v>
      </c>
    </row>
    <row r="43" spans="1:37" ht="17.399999999999999" x14ac:dyDescent="0.35">
      <c r="A43" s="536"/>
      <c r="B43" s="164"/>
      <c r="C43" s="164"/>
      <c r="D43" s="165"/>
      <c r="E43" s="164"/>
      <c r="F43" s="287"/>
      <c r="G43" s="164"/>
      <c r="H43" s="164"/>
      <c r="I43" s="164"/>
      <c r="J43" s="164"/>
      <c r="L43" s="93"/>
      <c r="M43" s="93"/>
      <c r="N43" s="93"/>
      <c r="O43" s="93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93"/>
      <c r="AC43" s="248" t="s">
        <v>211</v>
      </c>
      <c r="AD43" s="248" t="s">
        <v>205</v>
      </c>
      <c r="AE43" s="250">
        <v>340</v>
      </c>
      <c r="AF43" s="251">
        <v>20</v>
      </c>
      <c r="AG43" s="93"/>
      <c r="AH43" s="248" t="s">
        <v>396</v>
      </c>
      <c r="AI43" s="248" t="s">
        <v>242</v>
      </c>
      <c r="AJ43" s="250">
        <v>168</v>
      </c>
      <c r="AK43" s="251">
        <v>3</v>
      </c>
    </row>
    <row r="44" spans="1:37" ht="17.399999999999999" x14ac:dyDescent="0.35">
      <c r="A44" s="536"/>
      <c r="B44" s="164"/>
      <c r="C44" s="164"/>
      <c r="D44" s="165"/>
      <c r="E44" s="164"/>
      <c r="F44" s="287"/>
      <c r="G44" s="164"/>
      <c r="H44" s="164"/>
      <c r="I44" s="164"/>
      <c r="J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93"/>
      <c r="AC44" s="248" t="s">
        <v>316</v>
      </c>
      <c r="AD44" s="248" t="s">
        <v>205</v>
      </c>
      <c r="AE44" s="250">
        <v>248</v>
      </c>
      <c r="AF44" s="251">
        <v>41</v>
      </c>
      <c r="AG44" s="93"/>
      <c r="AH44" s="248" t="s">
        <v>397</v>
      </c>
      <c r="AI44" s="248" t="s">
        <v>242</v>
      </c>
      <c r="AJ44" s="250">
        <v>246.6</v>
      </c>
      <c r="AK44" s="251">
        <v>4</v>
      </c>
    </row>
    <row r="45" spans="1:37" ht="17.399999999999999" x14ac:dyDescent="0.35">
      <c r="A45" s="536"/>
      <c r="B45" s="164"/>
      <c r="C45" s="164"/>
      <c r="D45" s="254">
        <f>SUM(D2:D16)</f>
        <v>213335.6</v>
      </c>
      <c r="E45" s="164"/>
      <c r="F45" s="287"/>
      <c r="G45" s="164"/>
      <c r="H45" s="164"/>
      <c r="I45" s="254">
        <f>SUM(I2:I14)</f>
        <v>124163</v>
      </c>
      <c r="J45" s="164"/>
      <c r="M45" s="164"/>
      <c r="N45" s="254">
        <f>SUM(N2:N19)</f>
        <v>83232</v>
      </c>
      <c r="O45" s="164"/>
      <c r="P45" s="164"/>
      <c r="Q45" s="164"/>
      <c r="R45" s="164"/>
      <c r="S45" s="254">
        <f>SUM(S2:S25)</f>
        <v>179164.7</v>
      </c>
      <c r="T45" s="164"/>
      <c r="U45" s="164"/>
      <c r="V45" s="164"/>
      <c r="W45" s="164"/>
      <c r="X45" s="254">
        <f>SUM(X2:X39)</f>
        <v>6660.8500000000013</v>
      </c>
      <c r="Y45" s="164"/>
      <c r="Z45" s="164"/>
      <c r="AA45" s="164"/>
      <c r="AB45" s="93"/>
      <c r="AC45" s="248" t="s">
        <v>389</v>
      </c>
      <c r="AD45" s="248" t="s">
        <v>205</v>
      </c>
      <c r="AE45" s="250">
        <v>88</v>
      </c>
      <c r="AF45" s="251">
        <v>20</v>
      </c>
      <c r="AG45" s="93"/>
      <c r="AH45" s="248" t="s">
        <v>398</v>
      </c>
      <c r="AI45" s="248" t="s">
        <v>242</v>
      </c>
      <c r="AJ45" s="250">
        <v>54</v>
      </c>
      <c r="AK45" s="251">
        <v>3</v>
      </c>
    </row>
    <row r="46" spans="1:37" ht="17.399999999999999" x14ac:dyDescent="0.35">
      <c r="A46" s="536"/>
      <c r="B46" s="164"/>
      <c r="C46" s="164"/>
      <c r="D46" s="164"/>
      <c r="E46" s="164"/>
      <c r="F46" s="287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93"/>
      <c r="AC46" s="248" t="s">
        <v>366</v>
      </c>
      <c r="AD46" s="248" t="s">
        <v>205</v>
      </c>
      <c r="AE46" s="250">
        <v>336.69</v>
      </c>
      <c r="AF46" s="251">
        <v>27</v>
      </c>
      <c r="AG46" s="93"/>
      <c r="AH46" s="248" t="s">
        <v>519</v>
      </c>
      <c r="AI46" s="248" t="s">
        <v>242</v>
      </c>
      <c r="AJ46" s="250">
        <v>280.25</v>
      </c>
      <c r="AK46" s="251">
        <v>5</v>
      </c>
    </row>
    <row r="47" spans="1:37" ht="17.399999999999999" x14ac:dyDescent="0.35">
      <c r="A47" s="536"/>
      <c r="B47" s="164"/>
      <c r="C47" s="164"/>
      <c r="D47" s="164"/>
      <c r="E47" s="164"/>
      <c r="F47" s="287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93"/>
      <c r="AC47" s="248" t="s">
        <v>367</v>
      </c>
      <c r="AD47" s="248" t="s">
        <v>205</v>
      </c>
      <c r="AE47" s="250">
        <v>570</v>
      </c>
      <c r="AF47" s="251">
        <v>57</v>
      </c>
      <c r="AG47" s="93"/>
      <c r="AH47" s="248" t="s">
        <v>275</v>
      </c>
      <c r="AI47" s="248" t="s">
        <v>242</v>
      </c>
      <c r="AJ47" s="250">
        <v>368.4</v>
      </c>
      <c r="AK47" s="251">
        <v>10</v>
      </c>
    </row>
    <row r="48" spans="1:37" ht="17.399999999999999" x14ac:dyDescent="0.35">
      <c r="A48" s="536"/>
      <c r="B48" s="164"/>
      <c r="C48" s="255"/>
      <c r="D48" s="522" t="s">
        <v>219</v>
      </c>
      <c r="E48" s="523"/>
      <c r="F48" s="533" t="s">
        <v>220</v>
      </c>
      <c r="G48" s="533"/>
      <c r="H48" s="533" t="s">
        <v>221</v>
      </c>
      <c r="I48" s="533"/>
      <c r="J48" s="533" t="s">
        <v>222</v>
      </c>
      <c r="K48" s="533"/>
      <c r="L48" s="522" t="s">
        <v>223</v>
      </c>
      <c r="M48" s="523"/>
      <c r="N48" s="533" t="s">
        <v>224</v>
      </c>
      <c r="O48" s="533"/>
      <c r="P48" s="533" t="s">
        <v>225</v>
      </c>
      <c r="Q48" s="533"/>
      <c r="R48" s="533" t="s">
        <v>226</v>
      </c>
      <c r="S48" s="533"/>
      <c r="T48" s="533" t="s">
        <v>227</v>
      </c>
      <c r="U48" s="533"/>
      <c r="V48" s="533" t="s">
        <v>228</v>
      </c>
      <c r="W48" s="533"/>
      <c r="X48" s="533" t="s">
        <v>229</v>
      </c>
      <c r="Y48" s="533"/>
      <c r="Z48" s="533" t="s">
        <v>230</v>
      </c>
      <c r="AA48" s="533"/>
      <c r="AB48" s="93"/>
      <c r="AC48" s="248" t="s">
        <v>178</v>
      </c>
      <c r="AD48" s="248" t="s">
        <v>205</v>
      </c>
      <c r="AE48" s="250">
        <v>33.6</v>
      </c>
      <c r="AF48" s="251">
        <v>8</v>
      </c>
      <c r="AG48" s="93"/>
      <c r="AH48" s="248" t="s">
        <v>620</v>
      </c>
      <c r="AI48" s="248" t="s">
        <v>242</v>
      </c>
      <c r="AJ48" s="250">
        <v>39.200000000000003</v>
      </c>
      <c r="AK48" s="251">
        <v>1</v>
      </c>
    </row>
    <row r="49" spans="1:37" s="95" customFormat="1" ht="23.4" customHeight="1" x14ac:dyDescent="0.35">
      <c r="A49" s="536"/>
      <c r="B49" s="164"/>
      <c r="C49" s="256" t="s">
        <v>233</v>
      </c>
      <c r="D49" s="257">
        <f>I45</f>
        <v>124163</v>
      </c>
      <c r="E49" s="257">
        <f>D49/60</f>
        <v>2069.3833333333332</v>
      </c>
      <c r="F49" s="288"/>
      <c r="G49" s="257">
        <f>F49/60</f>
        <v>0</v>
      </c>
      <c r="H49" s="255"/>
      <c r="I49" s="255"/>
      <c r="J49" s="255"/>
      <c r="K49" s="255"/>
      <c r="L49" s="258"/>
      <c r="M49" s="255"/>
      <c r="N49" s="255"/>
      <c r="O49" s="255"/>
      <c r="P49" s="259"/>
      <c r="Q49" s="255"/>
      <c r="R49" s="259"/>
      <c r="S49" s="255"/>
      <c r="T49" s="259"/>
      <c r="U49" s="255"/>
      <c r="V49" s="259"/>
      <c r="W49" s="255"/>
      <c r="X49" s="259"/>
      <c r="Y49" s="255"/>
      <c r="Z49" s="259"/>
      <c r="AA49" s="255"/>
      <c r="AB49" s="260"/>
      <c r="AC49" s="253" t="s">
        <v>501</v>
      </c>
      <c r="AD49" s="253" t="s">
        <v>205</v>
      </c>
      <c r="AE49" s="261">
        <v>127.5</v>
      </c>
      <c r="AF49" s="262">
        <v>5</v>
      </c>
      <c r="AG49" s="260"/>
      <c r="AH49" s="248" t="s">
        <v>621</v>
      </c>
      <c r="AI49" s="248" t="s">
        <v>242</v>
      </c>
      <c r="AJ49" s="250">
        <v>42.29</v>
      </c>
      <c r="AK49" s="251">
        <v>1</v>
      </c>
    </row>
    <row r="50" spans="1:37" ht="17.399999999999999" x14ac:dyDescent="0.35">
      <c r="A50" s="536"/>
      <c r="B50" s="164"/>
      <c r="C50" s="256" t="s">
        <v>234</v>
      </c>
      <c r="D50" s="257">
        <f>D45</f>
        <v>213335.6</v>
      </c>
      <c r="E50" s="257">
        <f>D50/60</f>
        <v>3555.5933333333332</v>
      </c>
      <c r="F50" s="288"/>
      <c r="G50" s="257">
        <f>F50/60</f>
        <v>0</v>
      </c>
      <c r="H50" s="255"/>
      <c r="I50" s="255"/>
      <c r="J50" s="255"/>
      <c r="K50" s="255"/>
      <c r="L50" s="255"/>
      <c r="M50" s="255"/>
      <c r="N50" s="255"/>
      <c r="O50" s="255"/>
      <c r="P50" s="259"/>
      <c r="Q50" s="255"/>
      <c r="R50" s="259"/>
      <c r="S50" s="255"/>
      <c r="T50" s="259"/>
      <c r="U50" s="255"/>
      <c r="V50" s="259"/>
      <c r="W50" s="255"/>
      <c r="X50" s="255"/>
      <c r="Y50" s="255"/>
      <c r="Z50" s="259"/>
      <c r="AA50" s="255"/>
      <c r="AB50" s="93"/>
      <c r="AC50" s="248" t="s">
        <v>604</v>
      </c>
      <c r="AD50" s="248" t="s">
        <v>205</v>
      </c>
      <c r="AE50" s="250">
        <v>123</v>
      </c>
      <c r="AF50" s="251">
        <v>1</v>
      </c>
      <c r="AG50" s="93"/>
      <c r="AH50" s="248" t="s">
        <v>277</v>
      </c>
      <c r="AI50" s="248" t="s">
        <v>242</v>
      </c>
      <c r="AJ50" s="250">
        <v>120.72</v>
      </c>
      <c r="AK50" s="251">
        <v>4</v>
      </c>
    </row>
    <row r="51" spans="1:37" ht="17.399999999999999" x14ac:dyDescent="0.35">
      <c r="A51" s="536"/>
      <c r="B51" s="164"/>
      <c r="C51" s="256" t="s">
        <v>236</v>
      </c>
      <c r="D51" s="257">
        <f>S45</f>
        <v>179164.7</v>
      </c>
      <c r="E51" s="257">
        <f t="shared" ref="E51:G53" si="0">D51/60</f>
        <v>2986.0783333333334</v>
      </c>
      <c r="F51" s="288"/>
      <c r="G51" s="257">
        <f t="shared" si="0"/>
        <v>0</v>
      </c>
      <c r="H51" s="255"/>
      <c r="I51" s="255"/>
      <c r="J51" s="255"/>
      <c r="K51" s="255"/>
      <c r="L51" s="255"/>
      <c r="M51" s="255"/>
      <c r="N51" s="255"/>
      <c r="O51" s="255"/>
      <c r="P51" s="259"/>
      <c r="Q51" s="255"/>
      <c r="R51" s="259"/>
      <c r="S51" s="255"/>
      <c r="T51" s="259"/>
      <c r="U51" s="255"/>
      <c r="V51" s="259"/>
      <c r="W51" s="255"/>
      <c r="X51" s="255"/>
      <c r="Y51" s="255"/>
      <c r="Z51" s="259"/>
      <c r="AA51" s="255"/>
      <c r="AB51" s="93"/>
      <c r="AC51" s="248" t="s">
        <v>605</v>
      </c>
      <c r="AD51" s="248" t="s">
        <v>205</v>
      </c>
      <c r="AE51" s="250">
        <v>62.5</v>
      </c>
      <c r="AF51" s="251">
        <v>5</v>
      </c>
      <c r="AG51" s="93"/>
      <c r="AH51" s="248" t="s">
        <v>284</v>
      </c>
      <c r="AI51" s="248" t="s">
        <v>280</v>
      </c>
      <c r="AJ51" s="250">
        <v>191.45</v>
      </c>
      <c r="AK51" s="251">
        <v>5</v>
      </c>
    </row>
    <row r="52" spans="1:37" ht="17.399999999999999" x14ac:dyDescent="0.35">
      <c r="A52" s="536"/>
      <c r="B52" s="164"/>
      <c r="C52" s="256" t="s">
        <v>237</v>
      </c>
      <c r="D52" s="257">
        <f>N45</f>
        <v>83232</v>
      </c>
      <c r="E52" s="257">
        <f t="shared" si="0"/>
        <v>1387.2</v>
      </c>
      <c r="F52" s="288"/>
      <c r="G52" s="257">
        <f t="shared" si="0"/>
        <v>0</v>
      </c>
      <c r="H52" s="255"/>
      <c r="I52" s="255"/>
      <c r="J52" s="255"/>
      <c r="K52" s="255"/>
      <c r="L52" s="255"/>
      <c r="M52" s="255"/>
      <c r="N52" s="255"/>
      <c r="O52" s="255"/>
      <c r="P52" s="259"/>
      <c r="Q52" s="255"/>
      <c r="R52" s="259"/>
      <c r="S52" s="255"/>
      <c r="T52" s="259"/>
      <c r="U52" s="255"/>
      <c r="V52" s="259"/>
      <c r="W52" s="255"/>
      <c r="X52" s="255"/>
      <c r="Y52" s="255"/>
      <c r="Z52" s="259"/>
      <c r="AA52" s="255"/>
      <c r="AB52" s="93"/>
      <c r="AC52" s="248" t="s">
        <v>183</v>
      </c>
      <c r="AD52" s="248" t="s">
        <v>606</v>
      </c>
      <c r="AE52" s="250">
        <v>176</v>
      </c>
      <c r="AF52" s="251">
        <v>22</v>
      </c>
      <c r="AG52" s="93"/>
      <c r="AH52" s="248" t="s">
        <v>286</v>
      </c>
      <c r="AI52" s="248" t="s">
        <v>280</v>
      </c>
      <c r="AJ52" s="250">
        <v>52.2</v>
      </c>
      <c r="AK52" s="251">
        <v>1</v>
      </c>
    </row>
    <row r="53" spans="1:37" ht="17.399999999999999" x14ac:dyDescent="0.35">
      <c r="A53" s="536"/>
      <c r="B53" s="164"/>
      <c r="C53" s="256" t="s">
        <v>238</v>
      </c>
      <c r="D53" s="257">
        <f>X45</f>
        <v>6660.8500000000013</v>
      </c>
      <c r="E53" s="257">
        <f t="shared" si="0"/>
        <v>111.01416666666668</v>
      </c>
      <c r="F53" s="288"/>
      <c r="G53" s="257">
        <f t="shared" si="0"/>
        <v>0</v>
      </c>
      <c r="H53" s="255"/>
      <c r="I53" s="255"/>
      <c r="J53" s="255"/>
      <c r="K53" s="255"/>
      <c r="L53" s="263"/>
      <c r="M53" s="255"/>
      <c r="N53" s="263"/>
      <c r="O53" s="255"/>
      <c r="P53" s="264"/>
      <c r="Q53" s="255"/>
      <c r="R53" s="264"/>
      <c r="S53" s="255"/>
      <c r="T53" s="264"/>
      <c r="U53" s="255"/>
      <c r="V53" s="264"/>
      <c r="W53" s="255"/>
      <c r="X53" s="263"/>
      <c r="Y53" s="255"/>
      <c r="Z53" s="263"/>
      <c r="AA53" s="255"/>
      <c r="AB53" s="93"/>
      <c r="AC53" s="248" t="s">
        <v>213</v>
      </c>
      <c r="AD53" s="248" t="s">
        <v>212</v>
      </c>
      <c r="AE53" s="250">
        <v>225.5</v>
      </c>
      <c r="AF53" s="251">
        <v>41</v>
      </c>
      <c r="AG53" s="93"/>
      <c r="AH53" s="248" t="s">
        <v>372</v>
      </c>
      <c r="AI53" s="248" t="s">
        <v>431</v>
      </c>
      <c r="AJ53" s="250">
        <v>236</v>
      </c>
      <c r="AK53" s="251">
        <v>10</v>
      </c>
    </row>
    <row r="54" spans="1:37" ht="17.399999999999999" x14ac:dyDescent="0.35">
      <c r="A54" s="536"/>
      <c r="B54" s="265"/>
      <c r="C54" s="256" t="s">
        <v>239</v>
      </c>
      <c r="D54" s="257">
        <f>AK95</f>
        <v>45535.720000000008</v>
      </c>
      <c r="E54" s="257">
        <f>D54/60</f>
        <v>758.9286666666668</v>
      </c>
      <c r="F54" s="288"/>
      <c r="G54" s="257">
        <f>F54/60</f>
        <v>0</v>
      </c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  <c r="S54" s="255"/>
      <c r="T54" s="255"/>
      <c r="U54" s="255"/>
      <c r="V54" s="255"/>
      <c r="W54" s="255"/>
      <c r="X54" s="255"/>
      <c r="Y54" s="255"/>
      <c r="Z54" s="255"/>
      <c r="AA54" s="255"/>
      <c r="AB54" s="93"/>
      <c r="AC54" s="248" t="s">
        <v>187</v>
      </c>
      <c r="AD54" s="248" t="s">
        <v>212</v>
      </c>
      <c r="AE54" s="250">
        <v>160</v>
      </c>
      <c r="AF54" s="251">
        <v>20</v>
      </c>
      <c r="AG54" s="93"/>
      <c r="AH54" s="248" t="s">
        <v>297</v>
      </c>
      <c r="AI54" s="248" t="s">
        <v>298</v>
      </c>
      <c r="AJ54" s="250">
        <v>338</v>
      </c>
      <c r="AK54" s="251">
        <v>100</v>
      </c>
    </row>
    <row r="55" spans="1:37" ht="17.399999999999999" x14ac:dyDescent="0.35">
      <c r="A55" s="536"/>
      <c r="B55" s="164"/>
      <c r="C55" s="162"/>
      <c r="D55" s="163"/>
      <c r="E55" s="266">
        <f>SUM(E49:E54)</f>
        <v>10868.197833333334</v>
      </c>
      <c r="F55" s="288"/>
      <c r="G55" s="267"/>
      <c r="H55" s="255"/>
      <c r="I55" s="268"/>
      <c r="J55" s="255"/>
      <c r="K55" s="267"/>
      <c r="L55" s="255"/>
      <c r="M55" s="267"/>
      <c r="N55" s="255"/>
      <c r="O55" s="267"/>
      <c r="P55" s="255"/>
      <c r="Q55" s="267"/>
      <c r="R55" s="255"/>
      <c r="S55" s="268"/>
      <c r="T55" s="255"/>
      <c r="U55" s="267"/>
      <c r="V55" s="255"/>
      <c r="W55" s="267"/>
      <c r="X55" s="255"/>
      <c r="Y55" s="267"/>
      <c r="Z55" s="255"/>
      <c r="AA55" s="269"/>
      <c r="AB55" s="93"/>
      <c r="AC55" s="248" t="s">
        <v>607</v>
      </c>
      <c r="AD55" s="248" t="s">
        <v>499</v>
      </c>
      <c r="AE55" s="250">
        <v>464</v>
      </c>
      <c r="AF55" s="251">
        <v>8</v>
      </c>
      <c r="AG55" s="93"/>
      <c r="AH55" s="248" t="s">
        <v>299</v>
      </c>
      <c r="AI55" s="248" t="s">
        <v>298</v>
      </c>
      <c r="AJ55" s="250">
        <v>338</v>
      </c>
      <c r="AK55" s="251">
        <v>100</v>
      </c>
    </row>
    <row r="56" spans="1:37" ht="17.399999999999999" x14ac:dyDescent="0.35">
      <c r="A56" s="536"/>
      <c r="B56" s="164"/>
      <c r="C56" s="164"/>
      <c r="D56" s="164"/>
      <c r="E56" s="164"/>
      <c r="F56" s="287"/>
      <c r="G56" s="164"/>
      <c r="H56" s="164"/>
      <c r="I56" s="164"/>
      <c r="J56" s="164"/>
      <c r="K56" s="164"/>
      <c r="L56" s="164"/>
      <c r="M56" s="165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93"/>
      <c r="AC56" s="248" t="s">
        <v>608</v>
      </c>
      <c r="AD56" s="248" t="s">
        <v>499</v>
      </c>
      <c r="AE56" s="250">
        <v>228</v>
      </c>
      <c r="AF56" s="251">
        <v>8</v>
      </c>
      <c r="AG56" s="93"/>
      <c r="AH56" s="248" t="s">
        <v>308</v>
      </c>
      <c r="AI56" s="248" t="s">
        <v>301</v>
      </c>
      <c r="AJ56" s="250">
        <v>808.5</v>
      </c>
      <c r="AK56" s="251">
        <v>11</v>
      </c>
    </row>
    <row r="57" spans="1:37" x14ac:dyDescent="0.3">
      <c r="A57" s="536"/>
      <c r="B57" s="93"/>
      <c r="C57" s="93"/>
      <c r="D57" s="93"/>
      <c r="E57" s="93"/>
      <c r="F57" s="286"/>
      <c r="G57" s="93"/>
      <c r="H57" s="93"/>
      <c r="I57" s="93"/>
      <c r="J57" s="93"/>
      <c r="K57" s="93"/>
      <c r="L57" s="93"/>
      <c r="M57" s="93"/>
      <c r="N57" s="252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248" t="s">
        <v>609</v>
      </c>
      <c r="AD57" s="248" t="s">
        <v>610</v>
      </c>
      <c r="AE57" s="250">
        <v>20</v>
      </c>
      <c r="AF57" s="251">
        <v>2</v>
      </c>
      <c r="AG57" s="93"/>
      <c r="AH57" s="248" t="s">
        <v>300</v>
      </c>
      <c r="AI57" s="248" t="s">
        <v>301</v>
      </c>
      <c r="AJ57" s="250">
        <v>361</v>
      </c>
      <c r="AK57" s="251">
        <v>2</v>
      </c>
    </row>
    <row r="58" spans="1:37" x14ac:dyDescent="0.3">
      <c r="A58" s="536"/>
      <c r="B58" s="93"/>
      <c r="C58" s="93"/>
      <c r="D58" s="93"/>
      <c r="E58" s="93"/>
      <c r="F58" s="286"/>
      <c r="G58" s="93"/>
      <c r="H58" s="93"/>
      <c r="I58" s="93"/>
      <c r="J58" s="93"/>
      <c r="K58" s="93"/>
      <c r="L58" s="208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248" t="s">
        <v>611</v>
      </c>
      <c r="AD58" s="248" t="s">
        <v>610</v>
      </c>
      <c r="AE58" s="250">
        <v>13</v>
      </c>
      <c r="AF58" s="251">
        <v>2</v>
      </c>
      <c r="AG58" s="93"/>
      <c r="AH58" s="248" t="s">
        <v>216</v>
      </c>
      <c r="AI58" s="248" t="s">
        <v>399</v>
      </c>
      <c r="AJ58" s="250">
        <v>198.4</v>
      </c>
      <c r="AK58" s="251">
        <v>32</v>
      </c>
    </row>
    <row r="59" spans="1:37" x14ac:dyDescent="0.3">
      <c r="A59" s="536"/>
      <c r="B59" s="93"/>
      <c r="C59" s="93"/>
      <c r="D59" s="93"/>
      <c r="E59" s="93"/>
      <c r="F59" s="286"/>
      <c r="G59" s="93"/>
      <c r="H59" s="93"/>
      <c r="I59" s="93"/>
      <c r="J59" s="93"/>
      <c r="K59" s="93"/>
      <c r="L59" s="208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248" t="s">
        <v>463</v>
      </c>
      <c r="AD59" s="248" t="s">
        <v>464</v>
      </c>
      <c r="AE59" s="250">
        <v>192</v>
      </c>
      <c r="AF59" s="251">
        <v>32</v>
      </c>
      <c r="AG59" s="93"/>
      <c r="AH59" s="248" t="s">
        <v>215</v>
      </c>
      <c r="AI59" s="248" t="s">
        <v>399</v>
      </c>
      <c r="AJ59" s="250">
        <v>82.8</v>
      </c>
      <c r="AK59" s="251">
        <v>6</v>
      </c>
    </row>
    <row r="60" spans="1:37" ht="15" thickBot="1" x14ac:dyDescent="0.35">
      <c r="A60" s="536"/>
      <c r="B60" s="93"/>
      <c r="C60" s="93"/>
      <c r="D60" s="93"/>
      <c r="E60" s="93"/>
      <c r="F60" s="286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248" t="s">
        <v>552</v>
      </c>
      <c r="AD60" s="248" t="s">
        <v>553</v>
      </c>
      <c r="AE60" s="250">
        <v>43.5</v>
      </c>
      <c r="AF60" s="251">
        <v>14</v>
      </c>
      <c r="AG60" s="93"/>
      <c r="AH60" s="248" t="s">
        <v>302</v>
      </c>
      <c r="AI60" s="248" t="s">
        <v>303</v>
      </c>
      <c r="AJ60" s="250">
        <v>262.39999999999998</v>
      </c>
      <c r="AK60" s="251">
        <v>32</v>
      </c>
    </row>
    <row r="61" spans="1:37" ht="31.8" thickBot="1" x14ac:dyDescent="0.65">
      <c r="A61" s="536"/>
      <c r="B61" s="525" t="s">
        <v>246</v>
      </c>
      <c r="C61" s="525"/>
      <c r="D61" s="525"/>
      <c r="E61" s="525"/>
      <c r="F61" s="525"/>
      <c r="G61" s="525"/>
      <c r="H61" s="525"/>
      <c r="I61" s="525"/>
      <c r="J61" s="525"/>
      <c r="K61" s="525"/>
      <c r="L61" s="525"/>
      <c r="M61" s="525"/>
      <c r="N61" s="525"/>
      <c r="O61" s="525"/>
      <c r="P61" s="525"/>
      <c r="Q61" s="525"/>
      <c r="R61" s="525"/>
      <c r="S61" s="525"/>
      <c r="T61" s="525"/>
      <c r="U61" s="525"/>
      <c r="V61" s="525"/>
      <c r="W61" s="525"/>
      <c r="X61" s="525"/>
      <c r="Y61" s="525"/>
      <c r="Z61" s="525"/>
      <c r="AA61" s="526"/>
      <c r="AB61" s="93"/>
      <c r="AC61" s="248" t="s">
        <v>217</v>
      </c>
      <c r="AD61" s="248" t="s">
        <v>218</v>
      </c>
      <c r="AE61" s="250">
        <v>40</v>
      </c>
      <c r="AF61" s="251">
        <v>5</v>
      </c>
      <c r="AG61" s="93"/>
      <c r="AH61" s="248" t="s">
        <v>304</v>
      </c>
      <c r="AI61" s="248" t="s">
        <v>303</v>
      </c>
      <c r="AJ61" s="250">
        <v>97.8</v>
      </c>
      <c r="AK61" s="251">
        <v>6</v>
      </c>
    </row>
    <row r="62" spans="1:37" ht="17.399999999999999" thickBot="1" x14ac:dyDescent="0.35">
      <c r="A62" s="536"/>
      <c r="B62" s="527"/>
      <c r="C62" s="527"/>
      <c r="D62" s="166" t="s">
        <v>247</v>
      </c>
      <c r="E62" s="167" t="s">
        <v>248</v>
      </c>
      <c r="F62" s="289" t="s">
        <v>249</v>
      </c>
      <c r="G62" s="169" t="s">
        <v>250</v>
      </c>
      <c r="H62" s="166" t="s">
        <v>251</v>
      </c>
      <c r="I62" s="167" t="s">
        <v>252</v>
      </c>
      <c r="J62" s="168" t="s">
        <v>253</v>
      </c>
      <c r="K62" s="169" t="s">
        <v>254</v>
      </c>
      <c r="L62" s="166" t="s">
        <v>255</v>
      </c>
      <c r="M62" s="167" t="s">
        <v>256</v>
      </c>
      <c r="N62" s="168" t="s">
        <v>257</v>
      </c>
      <c r="O62" s="169" t="s">
        <v>258</v>
      </c>
      <c r="P62" s="166" t="s">
        <v>259</v>
      </c>
      <c r="Q62" s="167" t="s">
        <v>260</v>
      </c>
      <c r="R62" s="166" t="s">
        <v>261</v>
      </c>
      <c r="S62" s="167" t="s">
        <v>262</v>
      </c>
      <c r="T62" s="166" t="s">
        <v>263</v>
      </c>
      <c r="U62" s="166" t="s">
        <v>264</v>
      </c>
      <c r="V62" s="166" t="s">
        <v>265</v>
      </c>
      <c r="W62" s="170" t="s">
        <v>266</v>
      </c>
      <c r="X62" s="166" t="s">
        <v>267</v>
      </c>
      <c r="Y62" s="170" t="s">
        <v>268</v>
      </c>
      <c r="Z62" s="166" t="s">
        <v>269</v>
      </c>
      <c r="AA62" s="170" t="s">
        <v>270</v>
      </c>
      <c r="AB62" s="93"/>
      <c r="AC62" s="248" t="s">
        <v>231</v>
      </c>
      <c r="AD62" s="248" t="s">
        <v>232</v>
      </c>
      <c r="AE62" s="250">
        <v>45</v>
      </c>
      <c r="AF62" s="251">
        <v>5</v>
      </c>
      <c r="AG62" s="93"/>
      <c r="AH62" s="248" t="s">
        <v>364</v>
      </c>
      <c r="AI62" s="248" t="s">
        <v>365</v>
      </c>
      <c r="AJ62" s="250">
        <v>527.62</v>
      </c>
      <c r="AK62" s="251">
        <v>62</v>
      </c>
    </row>
    <row r="63" spans="1:37" ht="18" thickBot="1" x14ac:dyDescent="0.4">
      <c r="A63" s="536"/>
      <c r="B63" s="159">
        <v>110012</v>
      </c>
      <c r="C63" s="171" t="s">
        <v>272</v>
      </c>
      <c r="D63" s="203">
        <v>707750.65</v>
      </c>
      <c r="E63" s="204">
        <f t="shared" ref="E63:E69" si="1">D63/60</f>
        <v>11795.844166666668</v>
      </c>
      <c r="F63" s="290"/>
      <c r="G63" s="173">
        <f>F63/60</f>
        <v>0</v>
      </c>
      <c r="H63" s="172"/>
      <c r="I63" s="174">
        <f>H63/60</f>
        <v>0</v>
      </c>
      <c r="J63" s="175"/>
      <c r="K63" s="173">
        <f>J63/60</f>
        <v>0</v>
      </c>
      <c r="L63" s="172"/>
      <c r="M63" s="173">
        <f>L63/60</f>
        <v>0</v>
      </c>
      <c r="N63" s="176"/>
      <c r="O63" s="173">
        <f>N63/60</f>
        <v>0</v>
      </c>
      <c r="P63" s="177"/>
      <c r="Q63" s="173">
        <f>P63/60</f>
        <v>0</v>
      </c>
      <c r="R63" s="176"/>
      <c r="S63" s="173">
        <f>R63/60</f>
        <v>0</v>
      </c>
      <c r="T63" s="176"/>
      <c r="U63" s="173">
        <f>T63/60</f>
        <v>0</v>
      </c>
      <c r="V63" s="176"/>
      <c r="W63" s="173">
        <f>V63/60</f>
        <v>0</v>
      </c>
      <c r="X63" s="176"/>
      <c r="Y63" s="173">
        <f>X63/60</f>
        <v>0</v>
      </c>
      <c r="Z63" s="176"/>
      <c r="AA63" s="173">
        <f>Z63/60</f>
        <v>0</v>
      </c>
      <c r="AB63" s="93"/>
      <c r="AC63" s="248" t="s">
        <v>429</v>
      </c>
      <c r="AD63" s="248" t="s">
        <v>430</v>
      </c>
      <c r="AE63" s="250">
        <v>81.2</v>
      </c>
      <c r="AF63" s="251">
        <v>14</v>
      </c>
      <c r="AG63" s="93"/>
      <c r="AH63" s="248" t="s">
        <v>521</v>
      </c>
      <c r="AI63" s="248" t="s">
        <v>403</v>
      </c>
      <c r="AJ63" s="250">
        <v>32</v>
      </c>
      <c r="AK63" s="251">
        <v>4</v>
      </c>
    </row>
    <row r="64" spans="1:37" ht="18" thickBot="1" x14ac:dyDescent="0.4">
      <c r="A64" s="536"/>
      <c r="B64" s="160">
        <v>110050</v>
      </c>
      <c r="C64" s="178" t="s">
        <v>274</v>
      </c>
      <c r="D64" s="203">
        <v>95098.28</v>
      </c>
      <c r="E64" s="204">
        <f>D64/60</f>
        <v>1584.9713333333334</v>
      </c>
      <c r="F64" s="291"/>
      <c r="G64" s="180">
        <f>F64/60</f>
        <v>0</v>
      </c>
      <c r="H64" s="179"/>
      <c r="I64" s="180">
        <f>H64/60</f>
        <v>0</v>
      </c>
      <c r="J64" s="181"/>
      <c r="K64" s="180">
        <f>J64/60</f>
        <v>0</v>
      </c>
      <c r="L64" s="179"/>
      <c r="M64" s="180">
        <f>L64/60</f>
        <v>0</v>
      </c>
      <c r="N64" s="182"/>
      <c r="O64" s="180">
        <f>N64/60</f>
        <v>0</v>
      </c>
      <c r="P64" s="183"/>
      <c r="Q64" s="180">
        <f>P64/60</f>
        <v>0</v>
      </c>
      <c r="R64" s="182"/>
      <c r="S64" s="180">
        <f>R64/60</f>
        <v>0</v>
      </c>
      <c r="T64" s="182"/>
      <c r="U64" s="184">
        <f>T64/60</f>
        <v>0</v>
      </c>
      <c r="V64" s="182"/>
      <c r="W64" s="184">
        <f>V64/60</f>
        <v>0</v>
      </c>
      <c r="X64" s="182"/>
      <c r="Y64" s="184">
        <f>X64/60</f>
        <v>0</v>
      </c>
      <c r="Z64" s="182"/>
      <c r="AA64" s="184">
        <f>Z64/60</f>
        <v>0</v>
      </c>
      <c r="AB64" s="93"/>
      <c r="AC64" s="248" t="s">
        <v>418</v>
      </c>
      <c r="AD64" s="248" t="s">
        <v>347</v>
      </c>
      <c r="AE64" s="250">
        <v>112</v>
      </c>
      <c r="AF64" s="251">
        <v>16</v>
      </c>
      <c r="AG64" s="93"/>
      <c r="AH64" s="248" t="s">
        <v>402</v>
      </c>
      <c r="AI64" s="248" t="s">
        <v>403</v>
      </c>
      <c r="AJ64" s="250">
        <v>45</v>
      </c>
      <c r="AK64" s="251">
        <v>10</v>
      </c>
    </row>
    <row r="65" spans="1:37" ht="18" thickBot="1" x14ac:dyDescent="0.4">
      <c r="A65" s="536"/>
      <c r="B65" s="160">
        <v>110051</v>
      </c>
      <c r="C65" s="178" t="s">
        <v>276</v>
      </c>
      <c r="D65" s="203">
        <v>56279.482000000004</v>
      </c>
      <c r="E65" s="204">
        <f t="shared" si="1"/>
        <v>937.99136666666675</v>
      </c>
      <c r="F65" s="291"/>
      <c r="G65" s="180">
        <f>F65/60</f>
        <v>0</v>
      </c>
      <c r="H65" s="179"/>
      <c r="I65" s="180">
        <f>H65/60</f>
        <v>0</v>
      </c>
      <c r="J65" s="181"/>
      <c r="K65" s="180">
        <f>J65/60</f>
        <v>0</v>
      </c>
      <c r="L65" s="179"/>
      <c r="M65" s="180">
        <f>L65/60</f>
        <v>0</v>
      </c>
      <c r="N65" s="182"/>
      <c r="O65" s="180">
        <f>N65/60</f>
        <v>0</v>
      </c>
      <c r="P65" s="183"/>
      <c r="Q65" s="180">
        <f>P65/60</f>
        <v>0</v>
      </c>
      <c r="R65" s="182"/>
      <c r="S65" s="180">
        <f>R65/60</f>
        <v>0</v>
      </c>
      <c r="T65" s="182"/>
      <c r="U65" s="184">
        <f>T65/60</f>
        <v>0</v>
      </c>
      <c r="V65" s="182"/>
      <c r="W65" s="184">
        <f>V65/60</f>
        <v>0</v>
      </c>
      <c r="X65" s="182"/>
      <c r="Y65" s="184">
        <f>X65/60</f>
        <v>0</v>
      </c>
      <c r="Z65" s="182"/>
      <c r="AA65" s="184">
        <f>Z65/60</f>
        <v>0</v>
      </c>
      <c r="AB65" s="93"/>
      <c r="AC65" s="248" t="s">
        <v>168</v>
      </c>
      <c r="AD65" s="248" t="s">
        <v>348</v>
      </c>
      <c r="AE65" s="250">
        <v>566.28</v>
      </c>
      <c r="AF65" s="251">
        <v>174</v>
      </c>
      <c r="AG65" s="93"/>
      <c r="AH65" s="248" t="s">
        <v>432</v>
      </c>
      <c r="AI65" s="248" t="s">
        <v>561</v>
      </c>
      <c r="AJ65" s="250">
        <v>705</v>
      </c>
      <c r="AK65" s="251">
        <v>5</v>
      </c>
    </row>
    <row r="66" spans="1:37" ht="18" thickBot="1" x14ac:dyDescent="0.4">
      <c r="A66" s="536"/>
      <c r="B66" s="160">
        <v>110015</v>
      </c>
      <c r="C66" s="178" t="s">
        <v>278</v>
      </c>
      <c r="D66" s="203">
        <v>66273.13</v>
      </c>
      <c r="E66" s="204">
        <f t="shared" si="1"/>
        <v>1104.5521666666668</v>
      </c>
      <c r="F66" s="292"/>
      <c r="G66" s="185"/>
      <c r="H66" s="182"/>
      <c r="I66" s="185"/>
      <c r="J66" s="186"/>
      <c r="K66" s="185"/>
      <c r="L66" s="179"/>
      <c r="M66" s="185"/>
      <c r="N66" s="182"/>
      <c r="O66" s="185"/>
      <c r="P66" s="183"/>
      <c r="Q66" s="185"/>
      <c r="R66" s="182"/>
      <c r="S66" s="185"/>
      <c r="T66" s="182"/>
      <c r="U66" s="185"/>
      <c r="V66" s="182"/>
      <c r="W66" s="185"/>
      <c r="X66" s="182"/>
      <c r="Y66" s="185"/>
      <c r="Z66" s="182"/>
      <c r="AA66" s="185"/>
      <c r="AB66" s="93"/>
      <c r="AC66" s="248" t="s">
        <v>392</v>
      </c>
      <c r="AD66" s="248" t="s">
        <v>393</v>
      </c>
      <c r="AE66" s="250">
        <v>64</v>
      </c>
      <c r="AF66" s="251">
        <v>16</v>
      </c>
      <c r="AG66" s="93"/>
      <c r="AH66" s="248" t="s">
        <v>433</v>
      </c>
      <c r="AI66" s="248" t="s">
        <v>434</v>
      </c>
      <c r="AJ66" s="250">
        <v>17.5</v>
      </c>
      <c r="AK66" s="251">
        <v>7</v>
      </c>
    </row>
    <row r="67" spans="1:37" ht="17.399999999999999" x14ac:dyDescent="0.35">
      <c r="A67" s="536"/>
      <c r="B67" s="160">
        <v>110011</v>
      </c>
      <c r="C67" s="178" t="s">
        <v>281</v>
      </c>
      <c r="D67" s="203">
        <v>36110.400000000001</v>
      </c>
      <c r="E67" s="204">
        <f t="shared" si="1"/>
        <v>601.84</v>
      </c>
      <c r="F67" s="292"/>
      <c r="G67" s="185"/>
      <c r="H67" s="182"/>
      <c r="I67" s="185"/>
      <c r="J67" s="186"/>
      <c r="K67" s="185"/>
      <c r="L67" s="179"/>
      <c r="M67" s="185"/>
      <c r="N67" s="182"/>
      <c r="O67" s="185"/>
      <c r="P67" s="183"/>
      <c r="Q67" s="185"/>
      <c r="R67" s="182"/>
      <c r="S67" s="185"/>
      <c r="T67" s="182"/>
      <c r="U67" s="185"/>
      <c r="V67" s="182"/>
      <c r="W67" s="185"/>
      <c r="X67" s="182"/>
      <c r="Y67" s="185"/>
      <c r="Z67" s="182"/>
      <c r="AA67" s="185"/>
      <c r="AB67" s="93"/>
      <c r="AC67" s="248" t="s">
        <v>240</v>
      </c>
      <c r="AD67" s="248" t="s">
        <v>560</v>
      </c>
      <c r="AE67" s="250">
        <v>481.8</v>
      </c>
      <c r="AF67" s="251">
        <v>803</v>
      </c>
      <c r="AG67" s="93"/>
      <c r="AH67" s="248" t="s">
        <v>522</v>
      </c>
      <c r="AI67" s="248" t="s">
        <v>523</v>
      </c>
      <c r="AJ67" s="250">
        <v>266</v>
      </c>
      <c r="AK67" s="251">
        <v>14</v>
      </c>
    </row>
    <row r="68" spans="1:37" ht="17.399999999999999" x14ac:dyDescent="0.35">
      <c r="A68" s="536"/>
      <c r="B68" s="160"/>
      <c r="C68" s="178" t="s">
        <v>283</v>
      </c>
      <c r="D68" s="206">
        <f>SUM(D66:D67)</f>
        <v>102383.53</v>
      </c>
      <c r="E68" s="206">
        <f t="shared" si="1"/>
        <v>1706.3921666666668</v>
      </c>
      <c r="F68" s="291"/>
      <c r="G68" s="180">
        <f t="shared" ref="G68:G73" si="2">F68/60</f>
        <v>0</v>
      </c>
      <c r="H68" s="179"/>
      <c r="I68" s="180">
        <f t="shared" ref="I68:I73" si="3">H68/60</f>
        <v>0</v>
      </c>
      <c r="J68" s="179"/>
      <c r="K68" s="180">
        <f t="shared" ref="K68:K73" si="4">J68/60</f>
        <v>0</v>
      </c>
      <c r="L68" s="179"/>
      <c r="M68" s="180">
        <f t="shared" ref="M68:M73" si="5">L68/60</f>
        <v>0</v>
      </c>
      <c r="N68" s="179"/>
      <c r="O68" s="180">
        <f t="shared" ref="O68:O73" si="6">N68/60</f>
        <v>0</v>
      </c>
      <c r="P68" s="187"/>
      <c r="Q68" s="180">
        <f t="shared" ref="Q68:Q73" si="7">P68/60</f>
        <v>0</v>
      </c>
      <c r="R68" s="187"/>
      <c r="S68" s="180">
        <f t="shared" ref="S68:S73" si="8">R68/60</f>
        <v>0</v>
      </c>
      <c r="T68" s="187"/>
      <c r="U68" s="180">
        <f t="shared" ref="U68:U73" si="9">T68/60</f>
        <v>0</v>
      </c>
      <c r="V68" s="187"/>
      <c r="W68" s="180">
        <f t="shared" ref="W68:W73" si="10">V68/60</f>
        <v>0</v>
      </c>
      <c r="X68" s="187"/>
      <c r="Y68" s="180">
        <f t="shared" ref="Y68:Y73" si="11">X68/60</f>
        <v>0</v>
      </c>
      <c r="Z68" s="187"/>
      <c r="AA68" s="180">
        <f t="shared" ref="AA68:AA73" si="12">Z68/60</f>
        <v>0</v>
      </c>
      <c r="AB68" s="93"/>
      <c r="AC68" s="248" t="s">
        <v>612</v>
      </c>
      <c r="AD68" s="248" t="s">
        <v>613</v>
      </c>
      <c r="AE68" s="250">
        <v>19.5</v>
      </c>
      <c r="AF68" s="251">
        <v>3</v>
      </c>
      <c r="AG68" s="93"/>
      <c r="AH68" s="248" t="s">
        <v>404</v>
      </c>
      <c r="AI68" s="248" t="s">
        <v>405</v>
      </c>
      <c r="AJ68" s="250">
        <v>98</v>
      </c>
      <c r="AK68" s="251">
        <v>7</v>
      </c>
    </row>
    <row r="69" spans="1:37" ht="17.399999999999999" x14ac:dyDescent="0.35">
      <c r="A69" s="536"/>
      <c r="B69" s="160">
        <v>110030</v>
      </c>
      <c r="C69" s="188" t="s">
        <v>285</v>
      </c>
      <c r="D69" s="203">
        <v>74921.38</v>
      </c>
      <c r="E69" s="205">
        <f t="shared" si="1"/>
        <v>1248.6896666666667</v>
      </c>
      <c r="F69" s="291"/>
      <c r="G69" s="189">
        <f t="shared" si="2"/>
        <v>0</v>
      </c>
      <c r="H69" s="179"/>
      <c r="I69" s="189">
        <f t="shared" si="3"/>
        <v>0</v>
      </c>
      <c r="J69" s="181"/>
      <c r="K69" s="189">
        <f t="shared" si="4"/>
        <v>0</v>
      </c>
      <c r="L69" s="179"/>
      <c r="M69" s="189">
        <f t="shared" si="5"/>
        <v>0</v>
      </c>
      <c r="N69" s="182"/>
      <c r="O69" s="189">
        <f t="shared" si="6"/>
        <v>0</v>
      </c>
      <c r="P69" s="183"/>
      <c r="Q69" s="189">
        <f t="shared" si="7"/>
        <v>0</v>
      </c>
      <c r="R69" s="182"/>
      <c r="S69" s="189">
        <f t="shared" si="8"/>
        <v>0</v>
      </c>
      <c r="T69" s="182"/>
      <c r="U69" s="189">
        <f t="shared" si="9"/>
        <v>0</v>
      </c>
      <c r="V69" s="182"/>
      <c r="W69" s="189">
        <f t="shared" si="10"/>
        <v>0</v>
      </c>
      <c r="X69" s="182"/>
      <c r="Y69" s="189">
        <f t="shared" si="11"/>
        <v>0</v>
      </c>
      <c r="Z69" s="187"/>
      <c r="AA69" s="189">
        <f t="shared" si="12"/>
        <v>0</v>
      </c>
      <c r="AB69" s="93"/>
      <c r="AC69" s="248" t="s">
        <v>614</v>
      </c>
      <c r="AD69" s="248" t="s">
        <v>613</v>
      </c>
      <c r="AE69" s="250">
        <v>25.5</v>
      </c>
      <c r="AF69" s="251">
        <v>17</v>
      </c>
      <c r="AG69" s="93"/>
      <c r="AH69" s="248" t="s">
        <v>406</v>
      </c>
      <c r="AI69" s="248" t="s">
        <v>407</v>
      </c>
      <c r="AJ69" s="250">
        <v>85</v>
      </c>
      <c r="AK69" s="251">
        <v>17</v>
      </c>
    </row>
    <row r="70" spans="1:37" ht="17.399999999999999" x14ac:dyDescent="0.35">
      <c r="A70" s="536"/>
      <c r="B70" s="160">
        <v>110100</v>
      </c>
      <c r="C70" s="188" t="s">
        <v>287</v>
      </c>
      <c r="D70" s="203">
        <v>125435</v>
      </c>
      <c r="E70" s="205">
        <f t="shared" ref="E70:E73" si="13">D70/60</f>
        <v>2090.5833333333335</v>
      </c>
      <c r="F70" s="291"/>
      <c r="G70" s="189">
        <f t="shared" si="2"/>
        <v>0</v>
      </c>
      <c r="H70" s="179"/>
      <c r="I70" s="189">
        <f t="shared" si="3"/>
        <v>0</v>
      </c>
      <c r="J70" s="181"/>
      <c r="K70" s="189">
        <f t="shared" si="4"/>
        <v>0</v>
      </c>
      <c r="L70" s="179"/>
      <c r="M70" s="189">
        <f t="shared" si="5"/>
        <v>0</v>
      </c>
      <c r="N70" s="182"/>
      <c r="O70" s="189">
        <f t="shared" si="6"/>
        <v>0</v>
      </c>
      <c r="P70" s="183"/>
      <c r="Q70" s="189">
        <f t="shared" si="7"/>
        <v>0</v>
      </c>
      <c r="R70" s="182"/>
      <c r="S70" s="189">
        <f t="shared" si="8"/>
        <v>0</v>
      </c>
      <c r="T70" s="182"/>
      <c r="U70" s="189">
        <f t="shared" si="9"/>
        <v>0</v>
      </c>
      <c r="V70" s="182"/>
      <c r="W70" s="189">
        <f t="shared" si="10"/>
        <v>0</v>
      </c>
      <c r="X70" s="182"/>
      <c r="Y70" s="189">
        <f t="shared" si="11"/>
        <v>0</v>
      </c>
      <c r="Z70" s="182"/>
      <c r="AA70" s="189">
        <f t="shared" si="12"/>
        <v>0</v>
      </c>
      <c r="AB70" s="93"/>
      <c r="AC70" s="248" t="s">
        <v>615</v>
      </c>
      <c r="AD70" s="248" t="s">
        <v>380</v>
      </c>
      <c r="AE70" s="250">
        <v>188</v>
      </c>
      <c r="AF70" s="251">
        <v>4</v>
      </c>
      <c r="AG70" s="93"/>
      <c r="AH70" s="248" t="s">
        <v>408</v>
      </c>
      <c r="AI70" s="248" t="s">
        <v>409</v>
      </c>
      <c r="AJ70" s="250">
        <v>28</v>
      </c>
      <c r="AK70" s="251">
        <v>7</v>
      </c>
    </row>
    <row r="71" spans="1:37" ht="17.399999999999999" x14ac:dyDescent="0.35">
      <c r="A71" s="536"/>
      <c r="B71" s="160">
        <v>110110</v>
      </c>
      <c r="C71" s="190" t="s">
        <v>289</v>
      </c>
      <c r="D71" s="203">
        <v>291894</v>
      </c>
      <c r="E71" s="205">
        <f t="shared" si="13"/>
        <v>4864.8999999999996</v>
      </c>
      <c r="F71" s="293"/>
      <c r="G71" s="193">
        <f t="shared" si="2"/>
        <v>0</v>
      </c>
      <c r="H71" s="192"/>
      <c r="I71" s="193">
        <f t="shared" si="3"/>
        <v>0</v>
      </c>
      <c r="J71" s="194"/>
      <c r="K71" s="193">
        <f t="shared" si="4"/>
        <v>0</v>
      </c>
      <c r="L71" s="192"/>
      <c r="M71" s="193">
        <f t="shared" si="5"/>
        <v>0</v>
      </c>
      <c r="N71" s="191"/>
      <c r="O71" s="193">
        <f t="shared" si="6"/>
        <v>0</v>
      </c>
      <c r="P71" s="195"/>
      <c r="Q71" s="193">
        <f t="shared" si="7"/>
        <v>0</v>
      </c>
      <c r="R71" s="191"/>
      <c r="S71" s="193">
        <f t="shared" si="8"/>
        <v>0</v>
      </c>
      <c r="T71" s="191"/>
      <c r="U71" s="193">
        <f t="shared" si="9"/>
        <v>0</v>
      </c>
      <c r="V71" s="191"/>
      <c r="W71" s="193">
        <f t="shared" si="10"/>
        <v>0</v>
      </c>
      <c r="X71" s="191"/>
      <c r="Y71" s="193">
        <f t="shared" si="11"/>
        <v>0</v>
      </c>
      <c r="Z71" s="191"/>
      <c r="AA71" s="193">
        <f t="shared" si="12"/>
        <v>0</v>
      </c>
      <c r="AB71" s="93"/>
      <c r="AC71" s="248" t="s">
        <v>296</v>
      </c>
      <c r="AD71" s="248" t="s">
        <v>242</v>
      </c>
      <c r="AE71" s="250">
        <v>48</v>
      </c>
      <c r="AF71" s="251">
        <v>2</v>
      </c>
      <c r="AG71" s="93"/>
      <c r="AH71" s="248" t="s">
        <v>309</v>
      </c>
      <c r="AI71" s="248" t="s">
        <v>368</v>
      </c>
      <c r="AJ71" s="250">
        <v>3553.2</v>
      </c>
      <c r="AK71" s="251">
        <v>42</v>
      </c>
    </row>
    <row r="72" spans="1:37" ht="17.399999999999999" x14ac:dyDescent="0.35">
      <c r="A72" s="536"/>
      <c r="B72" s="160">
        <v>110060</v>
      </c>
      <c r="C72" s="190" t="s">
        <v>291</v>
      </c>
      <c r="D72" s="203">
        <v>31265.64</v>
      </c>
      <c r="E72" s="205">
        <f t="shared" si="13"/>
        <v>521.09399999999994</v>
      </c>
      <c r="F72" s="291"/>
      <c r="G72" s="193">
        <f t="shared" si="2"/>
        <v>0</v>
      </c>
      <c r="H72" s="179"/>
      <c r="I72" s="193">
        <f t="shared" si="3"/>
        <v>0</v>
      </c>
      <c r="J72" s="179"/>
      <c r="K72" s="193">
        <f t="shared" si="4"/>
        <v>0</v>
      </c>
      <c r="L72" s="179"/>
      <c r="M72" s="193">
        <f t="shared" si="5"/>
        <v>0</v>
      </c>
      <c r="N72" s="179"/>
      <c r="O72" s="193">
        <f t="shared" si="6"/>
        <v>0</v>
      </c>
      <c r="P72" s="187"/>
      <c r="Q72" s="193">
        <f t="shared" si="7"/>
        <v>0</v>
      </c>
      <c r="R72" s="255"/>
      <c r="S72" s="193">
        <f t="shared" si="8"/>
        <v>0</v>
      </c>
      <c r="T72" s="259"/>
      <c r="U72" s="193">
        <f t="shared" si="9"/>
        <v>0</v>
      </c>
      <c r="V72" s="255"/>
      <c r="W72" s="193">
        <f t="shared" si="10"/>
        <v>0</v>
      </c>
      <c r="X72" s="270"/>
      <c r="Y72" s="271">
        <f t="shared" si="11"/>
        <v>0</v>
      </c>
      <c r="Z72" s="270"/>
      <c r="AA72" s="189">
        <f t="shared" si="12"/>
        <v>0</v>
      </c>
      <c r="AB72" s="93"/>
      <c r="AC72" s="248" t="s">
        <v>279</v>
      </c>
      <c r="AD72" s="248" t="s">
        <v>242</v>
      </c>
      <c r="AE72" s="250">
        <v>175</v>
      </c>
      <c r="AF72" s="251">
        <v>5</v>
      </c>
      <c r="AG72" s="93"/>
      <c r="AH72" s="248" t="s">
        <v>306</v>
      </c>
      <c r="AI72" s="248" t="s">
        <v>307</v>
      </c>
      <c r="AJ72" s="250">
        <v>1251.1199999999999</v>
      </c>
      <c r="AK72" s="251">
        <v>12</v>
      </c>
    </row>
    <row r="73" spans="1:37" ht="18" thickBot="1" x14ac:dyDescent="0.4">
      <c r="A73" s="536"/>
      <c r="B73" s="161">
        <v>110111</v>
      </c>
      <c r="C73" s="196" t="s">
        <v>292</v>
      </c>
      <c r="D73" s="203">
        <v>70826</v>
      </c>
      <c r="E73" s="205">
        <f t="shared" si="13"/>
        <v>1180.4333333333334</v>
      </c>
      <c r="F73" s="294"/>
      <c r="G73" s="198">
        <f t="shared" si="2"/>
        <v>0</v>
      </c>
      <c r="H73" s="197"/>
      <c r="I73" s="198">
        <f t="shared" si="3"/>
        <v>0</v>
      </c>
      <c r="J73" s="197"/>
      <c r="K73" s="198">
        <f t="shared" si="4"/>
        <v>0</v>
      </c>
      <c r="L73" s="197"/>
      <c r="M73" s="198">
        <f t="shared" si="5"/>
        <v>0</v>
      </c>
      <c r="N73" s="197"/>
      <c r="O73" s="198">
        <f t="shared" si="6"/>
        <v>0</v>
      </c>
      <c r="P73" s="199"/>
      <c r="Q73" s="198">
        <f t="shared" si="7"/>
        <v>0</v>
      </c>
      <c r="R73" s="200"/>
      <c r="S73" s="198">
        <f t="shared" si="8"/>
        <v>0</v>
      </c>
      <c r="T73" s="201"/>
      <c r="U73" s="198">
        <f t="shared" si="9"/>
        <v>0</v>
      </c>
      <c r="V73" s="200"/>
      <c r="W73" s="198">
        <f t="shared" si="10"/>
        <v>0</v>
      </c>
      <c r="X73" s="200"/>
      <c r="Y73" s="202">
        <f t="shared" si="11"/>
        <v>0</v>
      </c>
      <c r="Z73" s="200"/>
      <c r="AA73" s="198">
        <f t="shared" si="12"/>
        <v>0</v>
      </c>
      <c r="AB73" s="93"/>
      <c r="AC73" s="248" t="s">
        <v>241</v>
      </c>
      <c r="AD73" s="248" t="s">
        <v>242</v>
      </c>
      <c r="AE73" s="250">
        <v>38.799999999999997</v>
      </c>
      <c r="AF73" s="251">
        <v>1</v>
      </c>
      <c r="AG73" s="93"/>
      <c r="AH73" s="248" t="s">
        <v>310</v>
      </c>
      <c r="AI73" s="248" t="s">
        <v>311</v>
      </c>
      <c r="AJ73" s="250">
        <v>142</v>
      </c>
      <c r="AK73" s="251">
        <v>71</v>
      </c>
    </row>
    <row r="74" spans="1:37" x14ac:dyDescent="0.3">
      <c r="A74" s="536"/>
      <c r="B74" s="93"/>
      <c r="C74" s="93"/>
      <c r="D74" s="93"/>
      <c r="E74" s="93"/>
      <c r="F74" s="286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252"/>
      <c r="U74" s="93"/>
      <c r="V74" s="93"/>
      <c r="W74" s="93"/>
      <c r="X74" s="93"/>
      <c r="Y74" s="93"/>
      <c r="Z74" s="93"/>
      <c r="AA74" s="93"/>
      <c r="AB74" s="93"/>
      <c r="AC74" s="248" t="s">
        <v>451</v>
      </c>
      <c r="AD74" s="248" t="s">
        <v>452</v>
      </c>
      <c r="AE74" s="250">
        <v>119</v>
      </c>
      <c r="AF74" s="251">
        <v>14</v>
      </c>
      <c r="AG74" s="93"/>
      <c r="AH74" s="248" t="s">
        <v>622</v>
      </c>
      <c r="AI74" s="248" t="s">
        <v>311</v>
      </c>
      <c r="AJ74" s="250">
        <v>52</v>
      </c>
      <c r="AK74" s="251">
        <v>8</v>
      </c>
    </row>
    <row r="75" spans="1:37" x14ac:dyDescent="0.3">
      <c r="A75" s="536"/>
      <c r="B75" s="93"/>
      <c r="C75" s="93"/>
      <c r="D75" s="93"/>
      <c r="E75" s="93"/>
      <c r="F75" s="286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252"/>
      <c r="U75" s="93"/>
      <c r="V75" s="93"/>
      <c r="W75" s="93"/>
      <c r="X75" s="93"/>
      <c r="Y75" s="93"/>
      <c r="Z75" s="93"/>
      <c r="AA75" s="93"/>
      <c r="AB75" s="93"/>
      <c r="AC75" s="248" t="s">
        <v>505</v>
      </c>
      <c r="AD75" s="248" t="s">
        <v>506</v>
      </c>
      <c r="AE75" s="250">
        <v>375</v>
      </c>
      <c r="AF75" s="251">
        <v>5</v>
      </c>
      <c r="AG75" s="93"/>
      <c r="AH75" s="248" t="s">
        <v>543</v>
      </c>
      <c r="AI75" s="248" t="s">
        <v>311</v>
      </c>
      <c r="AJ75" s="250">
        <v>100</v>
      </c>
      <c r="AK75" s="251">
        <v>20</v>
      </c>
    </row>
    <row r="76" spans="1:37" x14ac:dyDescent="0.3">
      <c r="A76" s="536"/>
      <c r="B76" s="93"/>
      <c r="C76" s="93"/>
      <c r="D76" s="93"/>
      <c r="E76" s="93"/>
      <c r="F76" s="286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252"/>
      <c r="U76" s="93"/>
      <c r="V76" s="93"/>
      <c r="W76" s="93"/>
      <c r="X76" s="93"/>
      <c r="Y76" s="93"/>
      <c r="Z76" s="93"/>
      <c r="AA76" s="93"/>
      <c r="AB76" s="93"/>
      <c r="AC76" s="248" t="s">
        <v>562</v>
      </c>
      <c r="AD76" s="248" t="s">
        <v>563</v>
      </c>
      <c r="AE76" s="250">
        <v>17.5</v>
      </c>
      <c r="AF76" s="251">
        <v>7</v>
      </c>
      <c r="AG76" s="93"/>
      <c r="AH76" s="248" t="s">
        <v>623</v>
      </c>
      <c r="AI76" s="248" t="s">
        <v>313</v>
      </c>
      <c r="AJ76" s="250">
        <v>3.5</v>
      </c>
      <c r="AK76" s="251">
        <v>1</v>
      </c>
    </row>
    <row r="77" spans="1:37" x14ac:dyDescent="0.3">
      <c r="A77" s="536"/>
      <c r="B77" s="93"/>
      <c r="C77" s="93"/>
      <c r="D77" s="93"/>
      <c r="E77" s="93"/>
      <c r="F77" s="286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252"/>
      <c r="U77" s="93"/>
      <c r="V77" s="93"/>
      <c r="W77" s="93"/>
      <c r="X77" s="93"/>
      <c r="Y77" s="93"/>
      <c r="Z77" s="93"/>
      <c r="AA77" s="93"/>
      <c r="AB77" s="93"/>
      <c r="AC77" s="248" t="s">
        <v>412</v>
      </c>
      <c r="AD77" s="248" t="s">
        <v>413</v>
      </c>
      <c r="AE77" s="250">
        <v>122</v>
      </c>
      <c r="AF77" s="251">
        <v>10</v>
      </c>
      <c r="AG77" s="93"/>
      <c r="AH77" s="248" t="s">
        <v>525</v>
      </c>
      <c r="AI77" s="248" t="s">
        <v>313</v>
      </c>
      <c r="AJ77" s="250">
        <v>59.5</v>
      </c>
      <c r="AK77" s="251">
        <v>17</v>
      </c>
    </row>
    <row r="78" spans="1:37" x14ac:dyDescent="0.3">
      <c r="A78" s="536"/>
      <c r="B78" s="93"/>
      <c r="C78" s="93"/>
      <c r="D78" s="93"/>
      <c r="E78" s="93"/>
      <c r="F78" s="286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252"/>
      <c r="U78" s="93"/>
      <c r="V78" s="93"/>
      <c r="W78" s="93"/>
      <c r="X78" s="93"/>
      <c r="Y78" s="93"/>
      <c r="Z78" s="93"/>
      <c r="AA78" s="93"/>
      <c r="AB78" s="93"/>
      <c r="AC78" s="248" t="s">
        <v>443</v>
      </c>
      <c r="AD78" s="248" t="s">
        <v>444</v>
      </c>
      <c r="AE78" s="250">
        <v>190</v>
      </c>
      <c r="AF78" s="251">
        <v>20</v>
      </c>
      <c r="AG78" s="93"/>
      <c r="AH78" s="248" t="s">
        <v>583</v>
      </c>
      <c r="AI78" s="248" t="s">
        <v>313</v>
      </c>
      <c r="AJ78" s="250">
        <v>14</v>
      </c>
      <c r="AK78" s="251">
        <v>4</v>
      </c>
    </row>
    <row r="79" spans="1:37" x14ac:dyDescent="0.3">
      <c r="A79" s="536"/>
      <c r="B79" s="93"/>
      <c r="C79" s="93"/>
      <c r="D79" s="93"/>
      <c r="E79" s="93"/>
      <c r="F79" s="286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252"/>
      <c r="U79" s="93"/>
      <c r="V79" s="93"/>
      <c r="W79" s="93"/>
      <c r="X79" s="93"/>
      <c r="Y79" s="93"/>
      <c r="Z79" s="93"/>
      <c r="AA79" s="93"/>
      <c r="AB79" s="93"/>
      <c r="AC79" s="248" t="s">
        <v>507</v>
      </c>
      <c r="AD79" s="248" t="s">
        <v>453</v>
      </c>
      <c r="AE79" s="250">
        <v>1104</v>
      </c>
      <c r="AF79" s="251">
        <v>46</v>
      </c>
      <c r="AG79" s="93"/>
      <c r="AH79" s="248" t="s">
        <v>383</v>
      </c>
      <c r="AI79" s="248" t="s">
        <v>313</v>
      </c>
      <c r="AJ79" s="250">
        <v>19.2</v>
      </c>
      <c r="AK79" s="251">
        <v>4</v>
      </c>
    </row>
    <row r="80" spans="1:37" x14ac:dyDescent="0.3">
      <c r="A80" s="536"/>
      <c r="B80" s="93"/>
      <c r="C80" s="93"/>
      <c r="D80" s="93"/>
      <c r="E80" s="93"/>
      <c r="F80" s="286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248" t="s">
        <v>590</v>
      </c>
      <c r="AD80" s="248" t="s">
        <v>175</v>
      </c>
      <c r="AE80" s="248">
        <v>180</v>
      </c>
      <c r="AF80" s="251">
        <v>6</v>
      </c>
      <c r="AG80" s="93"/>
      <c r="AH80" s="248" t="s">
        <v>312</v>
      </c>
      <c r="AI80" s="248" t="s">
        <v>313</v>
      </c>
      <c r="AJ80" s="250">
        <v>26.4</v>
      </c>
      <c r="AK80" s="251">
        <v>8</v>
      </c>
    </row>
    <row r="81" spans="1:37" x14ac:dyDescent="0.3">
      <c r="A81" s="536"/>
      <c r="B81" s="93"/>
      <c r="C81" s="93"/>
      <c r="D81" s="93"/>
      <c r="E81" s="93"/>
      <c r="F81" s="286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252"/>
      <c r="U81" s="93"/>
      <c r="V81" s="93"/>
      <c r="W81" s="93"/>
      <c r="X81" s="93"/>
      <c r="Y81" s="93"/>
      <c r="Z81" s="93"/>
      <c r="AA81" s="93"/>
      <c r="AB81" s="93"/>
      <c r="AC81" s="248" t="s">
        <v>321</v>
      </c>
      <c r="AD81" s="248" t="s">
        <v>175</v>
      </c>
      <c r="AE81" s="248">
        <v>133</v>
      </c>
      <c r="AF81" s="251">
        <v>14</v>
      </c>
      <c r="AG81" s="93"/>
      <c r="AH81" s="248" t="s">
        <v>314</v>
      </c>
      <c r="AI81" s="248" t="s">
        <v>313</v>
      </c>
      <c r="AJ81" s="250">
        <v>44</v>
      </c>
      <c r="AK81" s="251">
        <v>22</v>
      </c>
    </row>
    <row r="82" spans="1:37" x14ac:dyDescent="0.3">
      <c r="A82" s="536"/>
      <c r="B82" s="93"/>
      <c r="C82" s="93"/>
      <c r="D82" s="93"/>
      <c r="E82" s="93"/>
      <c r="F82" s="286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248" t="s">
        <v>571</v>
      </c>
      <c r="AD82" s="248" t="s">
        <v>572</v>
      </c>
      <c r="AE82" s="248">
        <v>180</v>
      </c>
      <c r="AF82" s="251">
        <v>12</v>
      </c>
      <c r="AG82" s="93"/>
      <c r="AH82" s="248" t="s">
        <v>371</v>
      </c>
      <c r="AI82" s="248" t="s">
        <v>313</v>
      </c>
      <c r="AJ82" s="250">
        <v>266.39999999999998</v>
      </c>
      <c r="AK82" s="251">
        <v>72</v>
      </c>
    </row>
    <row r="83" spans="1:37" x14ac:dyDescent="0.3">
      <c r="A83" s="536"/>
      <c r="B83" s="93"/>
      <c r="C83" s="93"/>
      <c r="D83" s="93"/>
      <c r="E83" s="93"/>
      <c r="F83" s="286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248" t="s">
        <v>591</v>
      </c>
      <c r="AD83" s="248" t="s">
        <v>336</v>
      </c>
      <c r="AE83" s="248">
        <v>3</v>
      </c>
      <c r="AF83" s="251">
        <v>1</v>
      </c>
      <c r="AG83" s="93"/>
      <c r="AH83" s="248" t="s">
        <v>624</v>
      </c>
      <c r="AI83" s="248" t="s">
        <v>313</v>
      </c>
      <c r="AJ83" s="250">
        <v>7</v>
      </c>
      <c r="AK83" s="251">
        <v>2</v>
      </c>
    </row>
    <row r="84" spans="1:37" x14ac:dyDescent="0.3">
      <c r="A84" s="536"/>
      <c r="B84" s="93"/>
      <c r="C84" s="93"/>
      <c r="D84" s="93"/>
      <c r="E84" s="93"/>
      <c r="F84" s="286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252"/>
      <c r="U84" s="93"/>
      <c r="V84" s="93"/>
      <c r="W84" s="93"/>
      <c r="X84" s="93"/>
      <c r="Y84" s="93"/>
      <c r="Z84" s="93"/>
      <c r="AA84" s="93"/>
      <c r="AB84" s="93"/>
      <c r="AC84" s="248" t="s">
        <v>536</v>
      </c>
      <c r="AD84" s="248" t="s">
        <v>336</v>
      </c>
      <c r="AE84" s="248">
        <v>4.5</v>
      </c>
      <c r="AF84" s="251">
        <v>1</v>
      </c>
      <c r="AG84" s="93"/>
      <c r="AH84" s="248" t="s">
        <v>176</v>
      </c>
      <c r="AI84" s="248" t="s">
        <v>313</v>
      </c>
      <c r="AJ84" s="250">
        <v>36.5</v>
      </c>
      <c r="AK84" s="251">
        <v>5</v>
      </c>
    </row>
    <row r="85" spans="1:37" x14ac:dyDescent="0.3">
      <c r="A85" s="536"/>
      <c r="B85" s="93"/>
      <c r="C85" s="93"/>
      <c r="D85" s="93"/>
      <c r="E85" s="93"/>
      <c r="F85" s="286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252"/>
      <c r="U85" s="93"/>
      <c r="V85" s="93"/>
      <c r="W85" s="93"/>
      <c r="X85" s="93"/>
      <c r="Y85" s="93"/>
      <c r="Z85" s="93"/>
      <c r="AA85" s="93"/>
      <c r="AB85" s="93"/>
      <c r="AC85" s="248" t="s">
        <v>537</v>
      </c>
      <c r="AD85" s="248" t="s">
        <v>336</v>
      </c>
      <c r="AE85" s="248">
        <v>5.5</v>
      </c>
      <c r="AF85" s="251">
        <v>1</v>
      </c>
      <c r="AG85" s="93"/>
      <c r="AH85" s="248" t="s">
        <v>504</v>
      </c>
      <c r="AI85" s="248" t="s">
        <v>315</v>
      </c>
      <c r="AJ85" s="250">
        <v>214.5</v>
      </c>
      <c r="AK85" s="251">
        <v>39</v>
      </c>
    </row>
    <row r="86" spans="1:37" x14ac:dyDescent="0.3">
      <c r="A86" s="536"/>
      <c r="B86" s="93"/>
      <c r="C86" s="93"/>
      <c r="D86" s="93"/>
      <c r="E86" s="93"/>
      <c r="F86" s="286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252"/>
      <c r="U86" s="93"/>
      <c r="V86" s="93"/>
      <c r="W86" s="93"/>
      <c r="X86" s="93"/>
      <c r="Y86" s="93"/>
      <c r="Z86" s="93"/>
      <c r="AA86" s="93"/>
      <c r="AB86" s="93"/>
      <c r="AC86" s="248" t="s">
        <v>538</v>
      </c>
      <c r="AD86" s="248" t="s">
        <v>336</v>
      </c>
      <c r="AE86" s="248">
        <v>5.5</v>
      </c>
      <c r="AF86" s="251">
        <v>1</v>
      </c>
      <c r="AG86" s="93"/>
      <c r="AH86" s="248" t="s">
        <v>473</v>
      </c>
      <c r="AI86" s="248" t="s">
        <v>472</v>
      </c>
      <c r="AJ86" s="250">
        <v>21</v>
      </c>
      <c r="AK86" s="251">
        <v>16</v>
      </c>
    </row>
    <row r="87" spans="1:37" x14ac:dyDescent="0.3">
      <c r="A87" s="536"/>
      <c r="B87" s="93"/>
      <c r="C87" s="93"/>
      <c r="D87" s="93"/>
      <c r="E87" s="93"/>
      <c r="F87" s="286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252"/>
      <c r="U87" s="93"/>
      <c r="V87" s="93"/>
      <c r="W87" s="93"/>
      <c r="X87" s="93"/>
      <c r="Y87" s="93"/>
      <c r="Z87" s="93"/>
      <c r="AA87" s="93"/>
      <c r="AB87" s="93"/>
      <c r="AC87" s="248" t="s">
        <v>539</v>
      </c>
      <c r="AD87" s="248" t="s">
        <v>336</v>
      </c>
      <c r="AE87" s="248">
        <v>2.5</v>
      </c>
      <c r="AF87" s="251">
        <v>1</v>
      </c>
      <c r="AG87" s="93"/>
      <c r="AH87" s="248" t="s">
        <v>410</v>
      </c>
      <c r="AI87" s="248" t="s">
        <v>411</v>
      </c>
      <c r="AJ87" s="250">
        <v>64</v>
      </c>
      <c r="AK87" s="251">
        <v>16</v>
      </c>
    </row>
    <row r="88" spans="1:37" x14ac:dyDescent="0.3">
      <c r="A88" s="536"/>
      <c r="B88" s="93"/>
      <c r="C88" s="93"/>
      <c r="D88" s="93"/>
      <c r="E88" s="93"/>
      <c r="F88" s="286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252"/>
      <c r="U88" s="93"/>
      <c r="V88" s="93"/>
      <c r="W88" s="93"/>
      <c r="X88" s="93"/>
      <c r="Y88" s="93"/>
      <c r="Z88" s="93"/>
      <c r="AA88" s="93"/>
      <c r="AB88" s="93"/>
      <c r="AC88" s="248" t="s">
        <v>592</v>
      </c>
      <c r="AD88" s="248" t="s">
        <v>205</v>
      </c>
      <c r="AE88" s="248">
        <v>35.4</v>
      </c>
      <c r="AF88" s="251">
        <v>16</v>
      </c>
      <c r="AG88" s="93"/>
      <c r="AH88" s="248" t="s">
        <v>544</v>
      </c>
      <c r="AI88" s="248" t="s">
        <v>545</v>
      </c>
      <c r="AJ88" s="250">
        <v>414</v>
      </c>
      <c r="AK88" s="251">
        <v>69</v>
      </c>
    </row>
    <row r="89" spans="1:37" x14ac:dyDescent="0.3">
      <c r="A89" s="536"/>
      <c r="B89" s="93"/>
      <c r="C89" s="93"/>
      <c r="D89" s="93"/>
      <c r="E89" s="93"/>
      <c r="F89" s="286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252"/>
      <c r="U89" s="93"/>
      <c r="V89" s="93"/>
      <c r="W89" s="93"/>
      <c r="X89" s="93"/>
      <c r="Y89" s="93"/>
      <c r="Z89" s="93"/>
      <c r="AA89" s="93"/>
      <c r="AB89" s="93"/>
      <c r="AC89" s="248" t="s">
        <v>593</v>
      </c>
      <c r="AD89" s="248" t="s">
        <v>205</v>
      </c>
      <c r="AE89" s="248">
        <v>16</v>
      </c>
      <c r="AF89" s="251">
        <v>8</v>
      </c>
      <c r="AG89" s="93"/>
      <c r="AH89" s="248" t="s">
        <v>449</v>
      </c>
      <c r="AI89" s="248" t="s">
        <v>450</v>
      </c>
      <c r="AJ89" s="250">
        <v>258</v>
      </c>
      <c r="AK89" s="251">
        <v>6</v>
      </c>
    </row>
    <row r="90" spans="1:37" x14ac:dyDescent="0.3">
      <c r="A90" s="536"/>
      <c r="B90" s="93"/>
      <c r="C90" s="93"/>
      <c r="D90" s="93"/>
      <c r="E90" s="93"/>
      <c r="F90" s="286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252"/>
      <c r="U90" s="93"/>
      <c r="V90" s="93"/>
      <c r="W90" s="93"/>
      <c r="X90" s="93"/>
      <c r="Y90" s="93"/>
      <c r="Z90" s="93"/>
      <c r="AA90" s="93"/>
      <c r="AB90" s="93"/>
      <c r="AC90" s="248" t="s">
        <v>594</v>
      </c>
      <c r="AD90" s="248" t="s">
        <v>205</v>
      </c>
      <c r="AE90" s="248">
        <v>20.54</v>
      </c>
      <c r="AF90" s="251">
        <v>2</v>
      </c>
      <c r="AG90" s="93"/>
      <c r="AH90" s="248" t="s">
        <v>332</v>
      </c>
      <c r="AI90" s="248" t="s">
        <v>333</v>
      </c>
      <c r="AJ90" s="248">
        <v>35</v>
      </c>
      <c r="AK90" s="251">
        <v>7</v>
      </c>
    </row>
    <row r="91" spans="1:37" x14ac:dyDescent="0.3">
      <c r="A91" s="536"/>
      <c r="B91" s="93"/>
      <c r="C91" s="93"/>
      <c r="D91" s="93"/>
      <c r="E91" s="93"/>
      <c r="F91" s="286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252"/>
      <c r="U91" s="93"/>
      <c r="V91" s="93"/>
      <c r="W91" s="93"/>
      <c r="X91" s="93"/>
      <c r="Y91" s="93"/>
      <c r="Z91" s="93"/>
      <c r="AA91" s="93"/>
      <c r="AB91" s="93"/>
      <c r="AC91" s="248" t="s">
        <v>540</v>
      </c>
      <c r="AD91" s="248" t="s">
        <v>205</v>
      </c>
      <c r="AE91" s="248">
        <v>12</v>
      </c>
      <c r="AF91" s="251">
        <v>6</v>
      </c>
      <c r="AG91" s="93"/>
      <c r="AH91" s="248" t="s">
        <v>595</v>
      </c>
      <c r="AI91" s="248" t="s">
        <v>596</v>
      </c>
      <c r="AJ91" s="248">
        <v>25</v>
      </c>
      <c r="AK91" s="251">
        <v>8</v>
      </c>
    </row>
    <row r="92" spans="1:37" x14ac:dyDescent="0.3">
      <c r="A92" s="536"/>
      <c r="B92" s="93"/>
      <c r="C92" s="93"/>
      <c r="D92" s="93"/>
      <c r="E92" s="93"/>
      <c r="F92" s="286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252"/>
      <c r="U92" s="93"/>
      <c r="V92" s="93"/>
      <c r="W92" s="93"/>
      <c r="X92" s="93"/>
      <c r="Y92" s="93"/>
      <c r="Z92" s="93"/>
      <c r="AA92" s="93"/>
      <c r="AB92" s="93"/>
      <c r="AC92" s="248" t="s">
        <v>326</v>
      </c>
      <c r="AD92" s="248" t="s">
        <v>327</v>
      </c>
      <c r="AE92" s="248">
        <v>37.5</v>
      </c>
      <c r="AF92" s="251">
        <v>5</v>
      </c>
      <c r="AG92" s="93"/>
      <c r="AH92" s="248" t="s">
        <v>597</v>
      </c>
      <c r="AI92" s="248" t="s">
        <v>598</v>
      </c>
      <c r="AJ92" s="248">
        <v>112</v>
      </c>
      <c r="AK92" s="251">
        <v>32</v>
      </c>
    </row>
    <row r="93" spans="1:37" x14ac:dyDescent="0.3">
      <c r="A93" s="536"/>
      <c r="B93" s="93"/>
      <c r="C93" s="93"/>
      <c r="D93" s="93"/>
      <c r="E93" s="93"/>
      <c r="F93" s="286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252"/>
      <c r="U93" s="93"/>
      <c r="V93" s="93"/>
      <c r="W93" s="93"/>
      <c r="X93" s="93"/>
      <c r="Y93" s="93"/>
      <c r="Z93" s="93"/>
      <c r="AA93" s="93"/>
      <c r="AB93" s="93"/>
      <c r="AC93" s="248" t="s">
        <v>329</v>
      </c>
      <c r="AD93" s="248" t="s">
        <v>330</v>
      </c>
      <c r="AE93" s="248">
        <v>140</v>
      </c>
      <c r="AF93" s="251">
        <v>7</v>
      </c>
      <c r="AG93" s="93"/>
      <c r="AH93" s="93"/>
      <c r="AI93" s="93"/>
      <c r="AJ93" s="93"/>
      <c r="AK93" s="275"/>
    </row>
    <row r="94" spans="1:37" x14ac:dyDescent="0.3">
      <c r="A94" s="536"/>
      <c r="B94" s="93"/>
      <c r="C94" s="93"/>
      <c r="D94" s="93"/>
      <c r="E94" s="93"/>
      <c r="F94" s="286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275"/>
    </row>
    <row r="95" spans="1:37" x14ac:dyDescent="0.3">
      <c r="A95" s="536"/>
      <c r="B95" s="93"/>
      <c r="C95" s="93"/>
      <c r="D95" s="93"/>
      <c r="E95" s="93"/>
      <c r="F95" s="286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276">
        <f>SUM(AJ2:AJ92,AE2:AE93)</f>
        <v>45535.720000000008</v>
      </c>
    </row>
    <row r="96" spans="1:37" x14ac:dyDescent="0.3">
      <c r="A96" s="536"/>
      <c r="B96" s="93"/>
      <c r="C96" s="93"/>
      <c r="D96" s="93"/>
      <c r="E96" s="93"/>
      <c r="F96" s="286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275"/>
    </row>
    <row r="97" spans="1:37" ht="15" thickBot="1" x14ac:dyDescent="0.35">
      <c r="A97" s="537"/>
      <c r="B97" s="96"/>
      <c r="C97" s="96"/>
      <c r="D97" s="96"/>
      <c r="E97" s="96"/>
      <c r="F97" s="295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277"/>
    </row>
    <row r="98" spans="1:37" ht="15" thickBot="1" x14ac:dyDescent="0.35">
      <c r="A98" s="273"/>
      <c r="B98" s="93"/>
      <c r="C98" s="93"/>
      <c r="D98" s="93"/>
      <c r="E98" s="93"/>
      <c r="F98" s="286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272"/>
    </row>
    <row r="99" spans="1:37" ht="23.25" customHeight="1" x14ac:dyDescent="0.3">
      <c r="A99" s="535" t="s">
        <v>625</v>
      </c>
      <c r="B99" s="528" t="s">
        <v>156</v>
      </c>
      <c r="C99" s="528"/>
      <c r="D99" s="528"/>
      <c r="E99" s="529"/>
      <c r="F99" s="285"/>
      <c r="G99" s="530" t="s">
        <v>157</v>
      </c>
      <c r="H99" s="528"/>
      <c r="I99" s="528"/>
      <c r="J99" s="529"/>
      <c r="K99" s="246"/>
      <c r="L99" s="531" t="s">
        <v>158</v>
      </c>
      <c r="M99" s="531"/>
      <c r="N99" s="531"/>
      <c r="O99" s="531"/>
      <c r="P99" s="247"/>
      <c r="Q99" s="531" t="s">
        <v>159</v>
      </c>
      <c r="R99" s="531"/>
      <c r="S99" s="531"/>
      <c r="T99" s="531"/>
      <c r="U99" s="246"/>
      <c r="V99" s="530" t="s">
        <v>160</v>
      </c>
      <c r="W99" s="528"/>
      <c r="X99" s="528"/>
      <c r="Y99" s="529"/>
      <c r="Z99" s="246"/>
      <c r="AA99" s="246"/>
      <c r="AB99" s="246"/>
      <c r="AC99" s="531" t="s">
        <v>161</v>
      </c>
      <c r="AD99" s="531"/>
      <c r="AE99" s="531"/>
      <c r="AF99" s="534"/>
      <c r="AG99" s="246"/>
      <c r="AH99" s="246"/>
      <c r="AI99" s="246"/>
      <c r="AJ99" s="246"/>
      <c r="AK99" s="282"/>
    </row>
    <row r="100" spans="1:37" x14ac:dyDescent="0.3">
      <c r="A100" s="536"/>
      <c r="B100" s="279" t="s">
        <v>454</v>
      </c>
      <c r="C100" s="248" t="s">
        <v>455</v>
      </c>
      <c r="D100" s="250">
        <v>52864</v>
      </c>
      <c r="E100" s="248">
        <v>16</v>
      </c>
      <c r="F100" s="286"/>
      <c r="G100" s="248" t="s">
        <v>629</v>
      </c>
      <c r="H100" s="248" t="s">
        <v>630</v>
      </c>
      <c r="I100" s="250">
        <v>4388</v>
      </c>
      <c r="J100" s="248">
        <v>2</v>
      </c>
      <c r="K100" s="93"/>
      <c r="L100" s="248" t="s">
        <v>196</v>
      </c>
      <c r="M100" s="248" t="s">
        <v>197</v>
      </c>
      <c r="N100" s="249">
        <v>1554.4</v>
      </c>
      <c r="O100" s="248">
        <v>2</v>
      </c>
      <c r="P100" s="93"/>
      <c r="Q100" s="248" t="s">
        <v>319</v>
      </c>
      <c r="R100" s="248" t="s">
        <v>320</v>
      </c>
      <c r="S100" s="249">
        <v>18840</v>
      </c>
      <c r="T100" s="248">
        <v>15</v>
      </c>
      <c r="U100" s="93"/>
      <c r="V100" s="248" t="s">
        <v>590</v>
      </c>
      <c r="W100" s="248" t="s">
        <v>175</v>
      </c>
      <c r="X100" s="249">
        <v>210</v>
      </c>
      <c r="Y100" s="248">
        <v>7</v>
      </c>
      <c r="Z100" s="93"/>
      <c r="AA100" s="93"/>
      <c r="AB100" s="93"/>
      <c r="AC100" s="248" t="s">
        <v>669</v>
      </c>
      <c r="AD100" s="248" t="s">
        <v>670</v>
      </c>
      <c r="AE100" s="250">
        <v>320</v>
      </c>
      <c r="AF100" s="251">
        <v>3</v>
      </c>
      <c r="AG100" s="93"/>
      <c r="AH100" s="248" t="s">
        <v>709</v>
      </c>
      <c r="AI100" s="248" t="s">
        <v>205</v>
      </c>
      <c r="AJ100" s="250">
        <v>57</v>
      </c>
      <c r="AK100" s="251">
        <v>8</v>
      </c>
    </row>
    <row r="101" spans="1:37" x14ac:dyDescent="0.3">
      <c r="A101" s="536"/>
      <c r="B101" s="248" t="s">
        <v>179</v>
      </c>
      <c r="C101" s="248" t="s">
        <v>162</v>
      </c>
      <c r="D101" s="250">
        <v>59128</v>
      </c>
      <c r="E101" s="248">
        <v>38</v>
      </c>
      <c r="F101" s="286"/>
      <c r="G101" s="248" t="s">
        <v>631</v>
      </c>
      <c r="H101" s="248" t="s">
        <v>630</v>
      </c>
      <c r="I101" s="250">
        <v>8776</v>
      </c>
      <c r="J101" s="248">
        <v>4</v>
      </c>
      <c r="K101" s="93"/>
      <c r="L101" s="248" t="s">
        <v>201</v>
      </c>
      <c r="M101" s="248" t="s">
        <v>202</v>
      </c>
      <c r="N101" s="249">
        <v>678.9</v>
      </c>
      <c r="O101" s="248">
        <v>1</v>
      </c>
      <c r="P101" s="93"/>
      <c r="Q101" s="248" t="s">
        <v>166</v>
      </c>
      <c r="R101" s="248" t="s">
        <v>167</v>
      </c>
      <c r="S101" s="249">
        <v>22455</v>
      </c>
      <c r="T101" s="248">
        <v>15</v>
      </c>
      <c r="U101" s="93"/>
      <c r="V101" s="248" t="s">
        <v>644</v>
      </c>
      <c r="W101" s="248" t="s">
        <v>645</v>
      </c>
      <c r="X101" s="249">
        <v>255</v>
      </c>
      <c r="Y101" s="248">
        <v>17</v>
      </c>
      <c r="Z101" s="93"/>
      <c r="AA101" s="93"/>
      <c r="AB101" s="93"/>
      <c r="AC101" s="248" t="s">
        <v>671</v>
      </c>
      <c r="AD101" s="248" t="s">
        <v>672</v>
      </c>
      <c r="AE101" s="250">
        <v>24.5</v>
      </c>
      <c r="AF101" s="251">
        <v>7</v>
      </c>
      <c r="AG101" s="93"/>
      <c r="AH101" s="248" t="s">
        <v>710</v>
      </c>
      <c r="AI101" s="248" t="s">
        <v>205</v>
      </c>
      <c r="AJ101" s="250">
        <v>84</v>
      </c>
      <c r="AK101" s="251">
        <v>8</v>
      </c>
    </row>
    <row r="102" spans="1:37" x14ac:dyDescent="0.3">
      <c r="A102" s="536"/>
      <c r="B102" s="248" t="s">
        <v>626</v>
      </c>
      <c r="C102" s="248" t="s">
        <v>162</v>
      </c>
      <c r="D102" s="250">
        <v>2010</v>
      </c>
      <c r="E102" s="248">
        <v>1</v>
      </c>
      <c r="F102" s="286"/>
      <c r="G102" s="248" t="s">
        <v>184</v>
      </c>
      <c r="H102" s="248" t="s">
        <v>181</v>
      </c>
      <c r="I102" s="250">
        <v>676</v>
      </c>
      <c r="J102" s="248">
        <v>1</v>
      </c>
      <c r="K102" s="93"/>
      <c r="L102" s="248" t="s">
        <v>634</v>
      </c>
      <c r="M102" s="248" t="s">
        <v>158</v>
      </c>
      <c r="N102" s="249">
        <v>6240</v>
      </c>
      <c r="O102" s="248">
        <v>1</v>
      </c>
      <c r="P102" s="93"/>
      <c r="Q102" s="248" t="s">
        <v>484</v>
      </c>
      <c r="R102" s="248" t="s">
        <v>174</v>
      </c>
      <c r="S102" s="249">
        <v>12360</v>
      </c>
      <c r="T102" s="248">
        <v>12</v>
      </c>
      <c r="U102" s="93"/>
      <c r="V102" s="248" t="s">
        <v>646</v>
      </c>
      <c r="W102" s="248" t="s">
        <v>336</v>
      </c>
      <c r="X102" s="249">
        <v>16.5</v>
      </c>
      <c r="Y102" s="248">
        <v>3</v>
      </c>
      <c r="Z102" s="93"/>
      <c r="AA102" s="93"/>
      <c r="AB102" s="93"/>
      <c r="AC102" s="248" t="s">
        <v>673</v>
      </c>
      <c r="AD102" s="248" t="s">
        <v>674</v>
      </c>
      <c r="AE102" s="250">
        <v>66</v>
      </c>
      <c r="AF102" s="251">
        <v>4</v>
      </c>
      <c r="AG102" s="93"/>
      <c r="AH102" s="248" t="s">
        <v>711</v>
      </c>
      <c r="AI102" s="248" t="s">
        <v>205</v>
      </c>
      <c r="AJ102" s="250">
        <v>84</v>
      </c>
      <c r="AK102" s="251">
        <v>8</v>
      </c>
    </row>
    <row r="103" spans="1:37" x14ac:dyDescent="0.3">
      <c r="A103" s="536"/>
      <c r="B103" s="279" t="s">
        <v>194</v>
      </c>
      <c r="C103" s="248" t="s">
        <v>170</v>
      </c>
      <c r="D103" s="250">
        <v>24996</v>
      </c>
      <c r="E103" s="248">
        <v>4</v>
      </c>
      <c r="F103" s="286"/>
      <c r="G103" s="248" t="s">
        <v>331</v>
      </c>
      <c r="H103" s="248" t="s">
        <v>181</v>
      </c>
      <c r="I103" s="250">
        <v>1320</v>
      </c>
      <c r="J103" s="248">
        <v>2</v>
      </c>
      <c r="K103" s="93"/>
      <c r="L103" s="248" t="s">
        <v>182</v>
      </c>
      <c r="M103" s="248" t="s">
        <v>165</v>
      </c>
      <c r="N103" s="249">
        <v>7029</v>
      </c>
      <c r="O103" s="248">
        <v>11</v>
      </c>
      <c r="P103" s="93"/>
      <c r="Q103" s="248" t="s">
        <v>173</v>
      </c>
      <c r="R103" s="248" t="s">
        <v>174</v>
      </c>
      <c r="S103" s="249">
        <v>11310</v>
      </c>
      <c r="T103" s="248">
        <v>10</v>
      </c>
      <c r="U103" s="93"/>
      <c r="V103" s="248" t="s">
        <v>647</v>
      </c>
      <c r="W103" s="248" t="s">
        <v>205</v>
      </c>
      <c r="X103" s="249">
        <v>20</v>
      </c>
      <c r="Y103" s="248">
        <v>8</v>
      </c>
      <c r="Z103" s="93"/>
      <c r="AA103" s="93"/>
      <c r="AB103" s="93"/>
      <c r="AC103" s="248" t="s">
        <v>675</v>
      </c>
      <c r="AD103" s="248" t="s">
        <v>674</v>
      </c>
      <c r="AE103" s="250">
        <v>88</v>
      </c>
      <c r="AF103" s="251">
        <v>11</v>
      </c>
      <c r="AG103" s="93"/>
      <c r="AH103" s="248" t="s">
        <v>712</v>
      </c>
      <c r="AI103" s="248" t="s">
        <v>713</v>
      </c>
      <c r="AJ103" s="250">
        <v>72</v>
      </c>
      <c r="AK103" s="251">
        <v>4</v>
      </c>
    </row>
    <row r="104" spans="1:37" x14ac:dyDescent="0.3">
      <c r="A104" s="536"/>
      <c r="B104" s="248" t="s">
        <v>203</v>
      </c>
      <c r="C104" s="248" t="s">
        <v>170</v>
      </c>
      <c r="D104" s="250">
        <v>14936.6</v>
      </c>
      <c r="E104" s="248">
        <v>7</v>
      </c>
      <c r="F104" s="286"/>
      <c r="G104" s="248" t="s">
        <v>564</v>
      </c>
      <c r="H104" s="248" t="s">
        <v>181</v>
      </c>
      <c r="I104" s="250">
        <v>27804</v>
      </c>
      <c r="J104" s="248">
        <v>12</v>
      </c>
      <c r="K104" s="93"/>
      <c r="L104" s="248" t="s">
        <v>483</v>
      </c>
      <c r="M104" s="248" t="s">
        <v>165</v>
      </c>
      <c r="N104" s="249">
        <v>4505</v>
      </c>
      <c r="O104" s="248">
        <v>7</v>
      </c>
      <c r="P104" s="93"/>
      <c r="Q104" s="248" t="s">
        <v>186</v>
      </c>
      <c r="R104" s="248" t="s">
        <v>174</v>
      </c>
      <c r="S104" s="249">
        <v>48516</v>
      </c>
      <c r="T104" s="248">
        <v>39</v>
      </c>
      <c r="U104" s="93"/>
      <c r="V104" s="248" t="s">
        <v>648</v>
      </c>
      <c r="W104" s="248" t="s">
        <v>499</v>
      </c>
      <c r="X104" s="249">
        <v>225.5</v>
      </c>
      <c r="Y104" s="248">
        <v>8</v>
      </c>
      <c r="Z104" s="93"/>
      <c r="AA104" s="93"/>
      <c r="AB104" s="93"/>
      <c r="AC104" s="248" t="s">
        <v>335</v>
      </c>
      <c r="AD104" s="248" t="s">
        <v>336</v>
      </c>
      <c r="AE104" s="250">
        <v>255</v>
      </c>
      <c r="AF104" s="251">
        <v>30</v>
      </c>
      <c r="AG104" s="93"/>
      <c r="AH104" s="248" t="s">
        <v>714</v>
      </c>
      <c r="AI104" s="248" t="s">
        <v>713</v>
      </c>
      <c r="AJ104" s="250">
        <v>32</v>
      </c>
      <c r="AK104" s="251">
        <v>4</v>
      </c>
    </row>
    <row r="105" spans="1:37" x14ac:dyDescent="0.3">
      <c r="A105" s="536"/>
      <c r="B105" s="248" t="s">
        <v>445</v>
      </c>
      <c r="C105" s="248" t="s">
        <v>170</v>
      </c>
      <c r="D105" s="250">
        <v>21540</v>
      </c>
      <c r="E105" s="248">
        <v>12</v>
      </c>
      <c r="F105" s="286"/>
      <c r="G105" s="248" t="s">
        <v>565</v>
      </c>
      <c r="H105" s="248" t="s">
        <v>181</v>
      </c>
      <c r="I105" s="250">
        <v>13902</v>
      </c>
      <c r="J105" s="248">
        <v>6</v>
      </c>
      <c r="K105" s="93"/>
      <c r="L105" s="248" t="s">
        <v>164</v>
      </c>
      <c r="M105" s="248" t="s">
        <v>165</v>
      </c>
      <c r="N105" s="249">
        <v>12260</v>
      </c>
      <c r="O105" s="248">
        <v>20</v>
      </c>
      <c r="P105" s="93"/>
      <c r="Q105" s="248" t="s">
        <v>186</v>
      </c>
      <c r="R105" s="248" t="s">
        <v>174</v>
      </c>
      <c r="S105" s="249">
        <v>8708</v>
      </c>
      <c r="T105" s="248">
        <v>7</v>
      </c>
      <c r="U105" s="93"/>
      <c r="V105" s="248" t="s">
        <v>649</v>
      </c>
      <c r="W105" s="248" t="s">
        <v>650</v>
      </c>
      <c r="X105" s="249">
        <v>22</v>
      </c>
      <c r="Y105" s="248">
        <v>4</v>
      </c>
      <c r="Z105" s="93"/>
      <c r="AA105" s="93"/>
      <c r="AB105" s="93"/>
      <c r="AC105" s="248" t="s">
        <v>337</v>
      </c>
      <c r="AD105" s="248" t="s">
        <v>336</v>
      </c>
      <c r="AE105" s="250">
        <v>42</v>
      </c>
      <c r="AF105" s="251">
        <v>14</v>
      </c>
      <c r="AG105" s="93"/>
      <c r="AH105" s="248" t="s">
        <v>183</v>
      </c>
      <c r="AI105" s="248" t="s">
        <v>606</v>
      </c>
      <c r="AJ105" s="250">
        <v>160</v>
      </c>
      <c r="AK105" s="251">
        <v>20</v>
      </c>
    </row>
    <row r="106" spans="1:37" x14ac:dyDescent="0.3">
      <c r="A106" s="536"/>
      <c r="B106" s="248" t="s">
        <v>482</v>
      </c>
      <c r="C106" s="248" t="s">
        <v>170</v>
      </c>
      <c r="D106" s="250">
        <v>69275</v>
      </c>
      <c r="E106" s="248">
        <v>17</v>
      </c>
      <c r="F106" s="286"/>
      <c r="G106" s="248" t="s">
        <v>325</v>
      </c>
      <c r="H106" s="248" t="s">
        <v>181</v>
      </c>
      <c r="I106" s="250">
        <v>16400</v>
      </c>
      <c r="J106" s="248">
        <v>10</v>
      </c>
      <c r="K106" s="93"/>
      <c r="L106" s="248" t="s">
        <v>322</v>
      </c>
      <c r="M106" s="248" t="s">
        <v>165</v>
      </c>
      <c r="N106" s="249">
        <v>2591</v>
      </c>
      <c r="O106" s="248">
        <v>3</v>
      </c>
      <c r="P106" s="93"/>
      <c r="Q106" s="248" t="s">
        <v>636</v>
      </c>
      <c r="R106" s="248" t="s">
        <v>174</v>
      </c>
      <c r="S106" s="249">
        <v>3300</v>
      </c>
      <c r="T106" s="248">
        <v>1</v>
      </c>
      <c r="U106" s="93"/>
      <c r="V106" s="248" t="s">
        <v>651</v>
      </c>
      <c r="W106" s="248" t="s">
        <v>652</v>
      </c>
      <c r="X106" s="249">
        <v>10530</v>
      </c>
      <c r="Y106" s="248">
        <v>3</v>
      </c>
      <c r="Z106" s="93"/>
      <c r="AA106" s="93"/>
      <c r="AB106" s="93"/>
      <c r="AC106" s="248" t="s">
        <v>676</v>
      </c>
      <c r="AD106" s="248" t="s">
        <v>336</v>
      </c>
      <c r="AE106" s="250">
        <v>132</v>
      </c>
      <c r="AF106" s="251">
        <v>8</v>
      </c>
      <c r="AG106" s="93"/>
      <c r="AH106" s="248" t="s">
        <v>213</v>
      </c>
      <c r="AI106" s="248" t="s">
        <v>212</v>
      </c>
      <c r="AJ106" s="250">
        <v>352</v>
      </c>
      <c r="AK106" s="251">
        <v>64</v>
      </c>
    </row>
    <row r="107" spans="1:37" x14ac:dyDescent="0.3">
      <c r="A107" s="536"/>
      <c r="F107" s="286"/>
      <c r="G107" s="248" t="s">
        <v>177</v>
      </c>
      <c r="H107" s="248" t="s">
        <v>181</v>
      </c>
      <c r="I107" s="250">
        <v>33422</v>
      </c>
      <c r="J107" s="248">
        <v>17</v>
      </c>
      <c r="K107" s="93"/>
      <c r="L107" s="248" t="s">
        <v>185</v>
      </c>
      <c r="M107" s="248" t="s">
        <v>165</v>
      </c>
      <c r="N107" s="249">
        <v>10364</v>
      </c>
      <c r="O107" s="248">
        <v>12</v>
      </c>
      <c r="P107" s="93"/>
      <c r="Q107" s="248" t="s">
        <v>637</v>
      </c>
      <c r="R107" s="248" t="s">
        <v>174</v>
      </c>
      <c r="S107" s="249">
        <v>6246</v>
      </c>
      <c r="T107" s="248">
        <v>2</v>
      </c>
      <c r="U107" s="93"/>
      <c r="V107" s="248" t="s">
        <v>653</v>
      </c>
      <c r="W107" s="248" t="s">
        <v>654</v>
      </c>
      <c r="X107" s="249">
        <v>75</v>
      </c>
      <c r="Y107" s="248">
        <v>5</v>
      </c>
      <c r="Z107" s="93"/>
      <c r="AA107" s="93"/>
      <c r="AB107" s="93"/>
      <c r="AC107" s="248" t="s">
        <v>677</v>
      </c>
      <c r="AD107" s="248" t="s">
        <v>336</v>
      </c>
      <c r="AE107" s="250">
        <v>52</v>
      </c>
      <c r="AF107" s="251">
        <v>8</v>
      </c>
      <c r="AG107" s="93"/>
      <c r="AH107" s="248" t="s">
        <v>187</v>
      </c>
      <c r="AI107" s="248" t="s">
        <v>212</v>
      </c>
      <c r="AJ107" s="250">
        <v>184</v>
      </c>
      <c r="AK107" s="251">
        <v>23</v>
      </c>
    </row>
    <row r="108" spans="1:37" x14ac:dyDescent="0.3">
      <c r="A108" s="536"/>
      <c r="F108" s="286"/>
      <c r="G108" s="248" t="s">
        <v>377</v>
      </c>
      <c r="H108" s="248" t="s">
        <v>181</v>
      </c>
      <c r="I108" s="250">
        <v>3198</v>
      </c>
      <c r="J108" s="248">
        <v>2</v>
      </c>
      <c r="K108" s="93"/>
      <c r="L108" s="248" t="s">
        <v>635</v>
      </c>
      <c r="M108" s="248" t="s">
        <v>165</v>
      </c>
      <c r="N108" s="249">
        <v>2184</v>
      </c>
      <c r="O108" s="248">
        <v>2</v>
      </c>
      <c r="P108" s="93"/>
      <c r="Q108" s="248" t="s">
        <v>535</v>
      </c>
      <c r="R108" s="248" t="s">
        <v>174</v>
      </c>
      <c r="S108" s="249">
        <v>11740</v>
      </c>
      <c r="T108" s="248">
        <v>10</v>
      </c>
      <c r="U108" s="93"/>
      <c r="V108" s="248" t="s">
        <v>655</v>
      </c>
      <c r="W108" s="248" t="s">
        <v>656</v>
      </c>
      <c r="X108" s="249">
        <v>1935.2</v>
      </c>
      <c r="Y108" s="248">
        <v>8</v>
      </c>
      <c r="Z108" s="93"/>
      <c r="AA108" s="93"/>
      <c r="AB108" s="93"/>
      <c r="AC108" s="248" t="s">
        <v>678</v>
      </c>
      <c r="AD108" s="248" t="s">
        <v>336</v>
      </c>
      <c r="AE108" s="250">
        <v>105.6</v>
      </c>
      <c r="AF108" s="251">
        <v>8</v>
      </c>
      <c r="AG108" s="93"/>
      <c r="AH108" s="248" t="s">
        <v>715</v>
      </c>
      <c r="AI108" s="248" t="s">
        <v>716</v>
      </c>
      <c r="AJ108" s="250">
        <v>120</v>
      </c>
      <c r="AK108" s="251">
        <v>24</v>
      </c>
    </row>
    <row r="109" spans="1:37" x14ac:dyDescent="0.3">
      <c r="A109" s="536"/>
      <c r="F109" s="286"/>
      <c r="G109" s="248" t="s">
        <v>163</v>
      </c>
      <c r="H109" s="248" t="s">
        <v>181</v>
      </c>
      <c r="I109" s="250">
        <v>59163</v>
      </c>
      <c r="J109" s="248">
        <v>37</v>
      </c>
      <c r="K109" s="93"/>
      <c r="L109" s="248" t="s">
        <v>171</v>
      </c>
      <c r="M109" s="248" t="s">
        <v>172</v>
      </c>
      <c r="N109" s="249">
        <v>29330</v>
      </c>
      <c r="O109" s="248">
        <v>48</v>
      </c>
      <c r="P109" s="93"/>
      <c r="Q109" s="248" t="s">
        <v>639</v>
      </c>
      <c r="R109" s="248" t="s">
        <v>640</v>
      </c>
      <c r="S109" s="249">
        <v>7000</v>
      </c>
      <c r="T109" s="248">
        <v>1</v>
      </c>
      <c r="U109" s="93"/>
      <c r="V109" s="248" t="s">
        <v>657</v>
      </c>
      <c r="W109" s="248" t="s">
        <v>658</v>
      </c>
      <c r="X109" s="249">
        <v>1693.3</v>
      </c>
      <c r="Y109" s="248">
        <v>7</v>
      </c>
      <c r="Z109" s="93"/>
      <c r="AA109" s="93"/>
      <c r="AB109" s="93"/>
      <c r="AC109" s="248" t="s">
        <v>679</v>
      </c>
      <c r="AD109" s="248" t="s">
        <v>336</v>
      </c>
      <c r="AE109" s="250">
        <v>148</v>
      </c>
      <c r="AF109" s="251">
        <v>8</v>
      </c>
      <c r="AG109" s="93"/>
      <c r="AH109" s="248" t="s">
        <v>717</v>
      </c>
      <c r="AI109" s="248" t="s">
        <v>718</v>
      </c>
      <c r="AJ109" s="250">
        <v>1155</v>
      </c>
      <c r="AK109" s="251">
        <v>50</v>
      </c>
    </row>
    <row r="110" spans="1:37" x14ac:dyDescent="0.3">
      <c r="A110" s="536"/>
      <c r="F110" s="286"/>
      <c r="G110" s="248" t="s">
        <v>632</v>
      </c>
      <c r="H110" s="248" t="s">
        <v>181</v>
      </c>
      <c r="I110" s="250">
        <v>5042</v>
      </c>
      <c r="J110" s="248">
        <v>2</v>
      </c>
      <c r="K110" s="93"/>
      <c r="L110" s="248" t="s">
        <v>192</v>
      </c>
      <c r="M110" s="248" t="s">
        <v>551</v>
      </c>
      <c r="N110" s="249">
        <v>19078</v>
      </c>
      <c r="O110" s="248">
        <v>19</v>
      </c>
      <c r="P110" s="93"/>
      <c r="Q110" s="248" t="s">
        <v>485</v>
      </c>
      <c r="R110" s="248" t="s">
        <v>420</v>
      </c>
      <c r="S110" s="249">
        <v>5150</v>
      </c>
      <c r="T110" s="248">
        <v>5</v>
      </c>
      <c r="U110" s="93"/>
      <c r="V110" s="248" t="s">
        <v>659</v>
      </c>
      <c r="W110" s="248" t="s">
        <v>660</v>
      </c>
      <c r="X110" s="249">
        <v>701</v>
      </c>
      <c r="Y110" s="248">
        <v>8</v>
      </c>
      <c r="Z110" s="93"/>
      <c r="AA110" s="93"/>
      <c r="AB110" s="93"/>
      <c r="AC110" s="248" t="s">
        <v>498</v>
      </c>
      <c r="AD110" s="248" t="s">
        <v>205</v>
      </c>
      <c r="AE110" s="250">
        <v>117</v>
      </c>
      <c r="AF110" s="251">
        <v>18</v>
      </c>
      <c r="AG110" s="93"/>
      <c r="AH110" s="248" t="s">
        <v>426</v>
      </c>
      <c r="AI110" s="248" t="s">
        <v>327</v>
      </c>
      <c r="AJ110" s="250">
        <v>12.6</v>
      </c>
      <c r="AK110" s="251">
        <v>2</v>
      </c>
    </row>
    <row r="111" spans="1:37" x14ac:dyDescent="0.3">
      <c r="A111" s="536"/>
      <c r="F111" s="286"/>
      <c r="G111" s="248" t="s">
        <v>633</v>
      </c>
      <c r="H111" s="248" t="s">
        <v>181</v>
      </c>
      <c r="I111" s="250">
        <v>2521</v>
      </c>
      <c r="J111" s="248">
        <v>1</v>
      </c>
      <c r="K111" s="93"/>
      <c r="L111" s="248" t="s">
        <v>567</v>
      </c>
      <c r="M111" s="248" t="s">
        <v>568</v>
      </c>
      <c r="N111" s="248">
        <v>192.5</v>
      </c>
      <c r="O111" s="248">
        <v>35</v>
      </c>
      <c r="P111" s="93"/>
      <c r="Q111" s="248" t="s">
        <v>641</v>
      </c>
      <c r="R111" s="248" t="s">
        <v>423</v>
      </c>
      <c r="S111" s="249">
        <v>2062</v>
      </c>
      <c r="T111" s="248">
        <v>1</v>
      </c>
      <c r="U111" s="93"/>
      <c r="V111" s="248" t="s">
        <v>661</v>
      </c>
      <c r="W111" s="248" t="s">
        <v>662</v>
      </c>
      <c r="X111" s="249">
        <v>1000</v>
      </c>
      <c r="Y111" s="248">
        <v>8</v>
      </c>
      <c r="Z111" s="93"/>
      <c r="AA111" s="93"/>
      <c r="AB111" s="93"/>
      <c r="AC111" s="248" t="s">
        <v>500</v>
      </c>
      <c r="AD111" s="248" t="s">
        <v>205</v>
      </c>
      <c r="AE111" s="250">
        <v>97.5</v>
      </c>
      <c r="AF111" s="251">
        <v>15</v>
      </c>
      <c r="AG111" s="93"/>
      <c r="AH111" s="248" t="s">
        <v>390</v>
      </c>
      <c r="AI111" s="248" t="s">
        <v>391</v>
      </c>
      <c r="AJ111" s="250">
        <v>75</v>
      </c>
      <c r="AK111" s="251">
        <v>5</v>
      </c>
    </row>
    <row r="112" spans="1:37" x14ac:dyDescent="0.3">
      <c r="A112" s="536"/>
      <c r="F112" s="286"/>
      <c r="G112" s="248" t="s">
        <v>195</v>
      </c>
      <c r="H112" s="248" t="s">
        <v>181</v>
      </c>
      <c r="I112" s="250">
        <v>37815</v>
      </c>
      <c r="J112" s="248">
        <v>15</v>
      </c>
      <c r="K112" s="93"/>
      <c r="L112" s="248" t="s">
        <v>628</v>
      </c>
      <c r="M112" s="248" t="s">
        <v>170</v>
      </c>
      <c r="N112" s="250">
        <v>6284</v>
      </c>
      <c r="O112" s="248">
        <v>1</v>
      </c>
      <c r="P112" s="93"/>
      <c r="Q112" s="248" t="s">
        <v>193</v>
      </c>
      <c r="R112" s="248" t="s">
        <v>423</v>
      </c>
      <c r="S112" s="249">
        <v>1174</v>
      </c>
      <c r="T112" s="248">
        <v>1</v>
      </c>
      <c r="U112" s="93"/>
      <c r="V112" s="248" t="s">
        <v>663</v>
      </c>
      <c r="W112" s="248" t="s">
        <v>664</v>
      </c>
      <c r="X112" s="249">
        <v>3234</v>
      </c>
      <c r="Y112" s="248">
        <v>1</v>
      </c>
      <c r="Z112" s="93"/>
      <c r="AA112" s="93"/>
      <c r="AB112" s="93"/>
      <c r="AC112" s="248" t="s">
        <v>204</v>
      </c>
      <c r="AD112" s="248" t="s">
        <v>205</v>
      </c>
      <c r="AE112" s="250">
        <v>149.16</v>
      </c>
      <c r="AF112" s="251">
        <v>11</v>
      </c>
      <c r="AG112" s="93"/>
      <c r="AH112" s="248" t="s">
        <v>719</v>
      </c>
      <c r="AI112" s="248" t="s">
        <v>720</v>
      </c>
      <c r="AJ112" s="250">
        <v>180</v>
      </c>
      <c r="AK112" s="251">
        <v>15</v>
      </c>
    </row>
    <row r="113" spans="1:37" x14ac:dyDescent="0.3">
      <c r="A113" s="536"/>
      <c r="B113" s="93"/>
      <c r="C113" s="93"/>
      <c r="D113" s="208"/>
      <c r="E113" s="93">
        <f>SUM(E100:E111)</f>
        <v>95</v>
      </c>
      <c r="F113" s="286"/>
      <c r="G113" s="248" t="s">
        <v>384</v>
      </c>
      <c r="H113" s="248" t="s">
        <v>181</v>
      </c>
      <c r="I113" s="250">
        <v>11955</v>
      </c>
      <c r="J113" s="248">
        <v>3</v>
      </c>
      <c r="K113" s="93"/>
      <c r="L113" s="248" t="s">
        <v>188</v>
      </c>
      <c r="M113" s="248" t="s">
        <v>170</v>
      </c>
      <c r="N113" s="250">
        <v>21276</v>
      </c>
      <c r="O113" s="248">
        <v>3</v>
      </c>
      <c r="P113" s="93"/>
      <c r="Q113" s="248" t="s">
        <v>209</v>
      </c>
      <c r="R113" s="248" t="s">
        <v>570</v>
      </c>
      <c r="S113" s="249">
        <v>2945</v>
      </c>
      <c r="T113" s="248">
        <v>1</v>
      </c>
      <c r="U113" s="93"/>
      <c r="V113" s="248" t="s">
        <v>665</v>
      </c>
      <c r="W113" s="248" t="s">
        <v>666</v>
      </c>
      <c r="X113" s="249">
        <v>8572</v>
      </c>
      <c r="Y113" s="248">
        <v>2</v>
      </c>
      <c r="Z113" s="93"/>
      <c r="AA113" s="93"/>
      <c r="AB113" s="93"/>
      <c r="AC113" s="248" t="s">
        <v>342</v>
      </c>
      <c r="AD113" s="248" t="s">
        <v>205</v>
      </c>
      <c r="AE113" s="250">
        <v>54</v>
      </c>
      <c r="AF113" s="251">
        <v>12</v>
      </c>
      <c r="AG113" s="93"/>
      <c r="AH113" s="248" t="s">
        <v>721</v>
      </c>
      <c r="AI113" s="248" t="s">
        <v>722</v>
      </c>
      <c r="AJ113" s="250">
        <v>150</v>
      </c>
      <c r="AK113" s="251">
        <v>15</v>
      </c>
    </row>
    <row r="114" spans="1:37" x14ac:dyDescent="0.3">
      <c r="A114" s="536"/>
      <c r="B114" s="93"/>
      <c r="C114" s="93"/>
      <c r="D114" s="93"/>
      <c r="E114" s="93"/>
      <c r="F114" s="286"/>
      <c r="G114" s="93"/>
      <c r="H114" s="93"/>
      <c r="I114" s="208"/>
      <c r="J114" s="93">
        <f>SUM(J100:J113)</f>
        <v>114</v>
      </c>
      <c r="K114" s="93"/>
      <c r="L114" s="93"/>
      <c r="M114" s="93"/>
      <c r="N114" s="93"/>
      <c r="O114" s="93"/>
      <c r="P114" s="93"/>
      <c r="Q114" s="248" t="s">
        <v>642</v>
      </c>
      <c r="R114" s="248" t="s">
        <v>643</v>
      </c>
      <c r="S114" s="249">
        <v>11740</v>
      </c>
      <c r="T114" s="248">
        <v>10</v>
      </c>
      <c r="U114" s="93"/>
      <c r="V114" s="248" t="s">
        <v>667</v>
      </c>
      <c r="W114" s="248" t="s">
        <v>668</v>
      </c>
      <c r="X114" s="249">
        <v>6666</v>
      </c>
      <c r="Y114" s="248">
        <v>3</v>
      </c>
      <c r="Z114" s="93"/>
      <c r="AA114" s="93"/>
      <c r="AB114" s="93"/>
      <c r="AC114" s="248" t="s">
        <v>680</v>
      </c>
      <c r="AD114" s="248" t="s">
        <v>205</v>
      </c>
      <c r="AE114" s="250">
        <v>23.4</v>
      </c>
      <c r="AF114" s="251">
        <v>9</v>
      </c>
      <c r="AG114" s="93"/>
      <c r="AH114" s="248" t="s">
        <v>723</v>
      </c>
      <c r="AI114" s="248" t="s">
        <v>724</v>
      </c>
      <c r="AJ114" s="250">
        <v>125.3</v>
      </c>
      <c r="AK114" s="251">
        <v>14</v>
      </c>
    </row>
    <row r="115" spans="1:37" x14ac:dyDescent="0.3">
      <c r="A115" s="536"/>
      <c r="B115" s="93"/>
      <c r="C115" s="93"/>
      <c r="D115" s="93"/>
      <c r="E115" s="93"/>
      <c r="F115" s="286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279" t="s">
        <v>191</v>
      </c>
      <c r="R115" s="248" t="s">
        <v>170</v>
      </c>
      <c r="S115" s="250">
        <v>12404</v>
      </c>
      <c r="T115" s="248">
        <v>2</v>
      </c>
      <c r="U115" s="93"/>
      <c r="V115" s="248" t="s">
        <v>638</v>
      </c>
      <c r="W115" s="248" t="s">
        <v>174</v>
      </c>
      <c r="X115" s="249">
        <v>11110</v>
      </c>
      <c r="Y115" s="248">
        <v>5</v>
      </c>
      <c r="Z115" s="93"/>
      <c r="AA115" s="93"/>
      <c r="AB115" s="93"/>
      <c r="AC115" s="248" t="s">
        <v>386</v>
      </c>
      <c r="AD115" s="248" t="s">
        <v>205</v>
      </c>
      <c r="AE115" s="250">
        <v>42</v>
      </c>
      <c r="AF115" s="251">
        <v>12</v>
      </c>
      <c r="AG115" s="93"/>
      <c r="AH115" s="248" t="s">
        <v>725</v>
      </c>
      <c r="AI115" s="248" t="s">
        <v>726</v>
      </c>
      <c r="AJ115" s="250">
        <v>302.39999999999998</v>
      </c>
      <c r="AK115" s="251">
        <v>18</v>
      </c>
    </row>
    <row r="116" spans="1:37" x14ac:dyDescent="0.3">
      <c r="A116" s="536"/>
      <c r="B116" s="93"/>
      <c r="C116" s="93"/>
      <c r="D116" s="208"/>
      <c r="E116" s="93"/>
      <c r="F116" s="286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248" t="s">
        <v>627</v>
      </c>
      <c r="R116" s="248" t="s">
        <v>170</v>
      </c>
      <c r="S116" s="250">
        <v>7266</v>
      </c>
      <c r="T116" s="248">
        <v>6</v>
      </c>
      <c r="U116" s="93"/>
      <c r="V116" s="93"/>
      <c r="W116" s="93"/>
      <c r="X116" s="93"/>
      <c r="Y116" s="93"/>
      <c r="Z116" s="93"/>
      <c r="AA116" s="93"/>
      <c r="AB116" s="93"/>
      <c r="AC116" s="248" t="s">
        <v>343</v>
      </c>
      <c r="AD116" s="248" t="s">
        <v>205</v>
      </c>
      <c r="AE116" s="250">
        <v>253.2</v>
      </c>
      <c r="AF116" s="251">
        <v>40</v>
      </c>
      <c r="AG116" s="93"/>
      <c r="AH116" s="248" t="s">
        <v>727</v>
      </c>
      <c r="AI116" s="248" t="s">
        <v>728</v>
      </c>
      <c r="AJ116" s="250">
        <v>86.4</v>
      </c>
      <c r="AK116" s="251">
        <v>8</v>
      </c>
    </row>
    <row r="117" spans="1:37" x14ac:dyDescent="0.3">
      <c r="A117" s="536"/>
      <c r="B117" s="93"/>
      <c r="C117" s="93"/>
      <c r="D117" s="93"/>
      <c r="E117" s="93"/>
      <c r="F117" s="286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248" t="s">
        <v>200</v>
      </c>
      <c r="R117" s="248" t="s">
        <v>170</v>
      </c>
      <c r="S117" s="250">
        <v>8477</v>
      </c>
      <c r="T117" s="248">
        <v>7</v>
      </c>
      <c r="U117" s="93"/>
      <c r="V117" s="93"/>
      <c r="W117" s="93"/>
      <c r="X117" s="93"/>
      <c r="Y117" s="93"/>
      <c r="Z117" s="93"/>
      <c r="AA117" s="93"/>
      <c r="AB117" s="93"/>
      <c r="AC117" s="248" t="s">
        <v>235</v>
      </c>
      <c r="AD117" s="248" t="s">
        <v>205</v>
      </c>
      <c r="AE117" s="250">
        <v>84</v>
      </c>
      <c r="AF117" s="251">
        <v>12</v>
      </c>
      <c r="AG117" s="93"/>
      <c r="AH117" s="248" t="s">
        <v>729</v>
      </c>
      <c r="AI117" s="248" t="s">
        <v>728</v>
      </c>
      <c r="AJ117" s="250">
        <v>86.4</v>
      </c>
      <c r="AK117" s="251">
        <v>8</v>
      </c>
    </row>
    <row r="118" spans="1:37" x14ac:dyDescent="0.3">
      <c r="A118" s="536"/>
      <c r="B118" s="93"/>
      <c r="C118" s="93"/>
      <c r="D118" s="208"/>
      <c r="E118" s="93"/>
      <c r="F118" s="286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280" t="s">
        <v>169</v>
      </c>
      <c r="R118" s="248" t="s">
        <v>170</v>
      </c>
      <c r="S118" s="250">
        <v>14892.8</v>
      </c>
      <c r="T118" s="248">
        <v>8</v>
      </c>
      <c r="U118" s="93"/>
      <c r="V118" s="93"/>
      <c r="W118" s="93" t="s">
        <v>800</v>
      </c>
      <c r="X118" s="93"/>
      <c r="Y118" s="93"/>
      <c r="Z118" s="93"/>
      <c r="AA118" s="93"/>
      <c r="AB118" s="93"/>
      <c r="AC118" s="248" t="s">
        <v>681</v>
      </c>
      <c r="AD118" s="248" t="s">
        <v>205</v>
      </c>
      <c r="AE118" s="250">
        <v>420</v>
      </c>
      <c r="AF118" s="251">
        <v>30</v>
      </c>
      <c r="AG118" s="93"/>
      <c r="AH118" s="248" t="s">
        <v>730</v>
      </c>
      <c r="AI118" s="248" t="s">
        <v>731</v>
      </c>
      <c r="AJ118" s="250">
        <v>168</v>
      </c>
      <c r="AK118" s="251">
        <v>24</v>
      </c>
    </row>
    <row r="119" spans="1:37" x14ac:dyDescent="0.3">
      <c r="A119" s="536"/>
      <c r="B119" s="93"/>
      <c r="C119" s="93"/>
      <c r="D119" s="93"/>
      <c r="E119" s="93"/>
      <c r="F119" s="286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2"/>
      <c r="T119" s="93"/>
      <c r="U119" s="93"/>
      <c r="V119" s="93"/>
      <c r="W119" s="93" t="s">
        <v>801</v>
      </c>
      <c r="X119" s="93"/>
      <c r="Y119" s="93"/>
      <c r="Z119" s="93"/>
      <c r="AA119" s="93"/>
      <c r="AB119" s="93"/>
      <c r="AC119" s="248" t="s">
        <v>344</v>
      </c>
      <c r="AD119" s="248" t="s">
        <v>205</v>
      </c>
      <c r="AE119" s="250">
        <v>34.75</v>
      </c>
      <c r="AF119" s="251">
        <v>8</v>
      </c>
      <c r="AG119" s="93"/>
      <c r="AH119" s="248" t="s">
        <v>732</v>
      </c>
      <c r="AI119" s="248" t="s">
        <v>733</v>
      </c>
      <c r="AJ119" s="250">
        <v>54</v>
      </c>
      <c r="AK119" s="251">
        <v>20</v>
      </c>
    </row>
    <row r="120" spans="1:37" x14ac:dyDescent="0.3">
      <c r="A120" s="536"/>
      <c r="B120" s="93"/>
      <c r="C120" s="93"/>
      <c r="D120" s="93"/>
      <c r="E120" s="93"/>
      <c r="F120" s="286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 t="s">
        <v>802</v>
      </c>
      <c r="X120" s="93"/>
      <c r="Y120" s="93"/>
      <c r="Z120" s="93"/>
      <c r="AA120" s="93"/>
      <c r="AB120" s="93"/>
      <c r="AC120" s="248" t="s">
        <v>387</v>
      </c>
      <c r="AD120" s="248" t="s">
        <v>205</v>
      </c>
      <c r="AE120" s="250">
        <v>24</v>
      </c>
      <c r="AF120" s="251">
        <v>8</v>
      </c>
      <c r="AG120" s="93"/>
      <c r="AH120" s="248"/>
      <c r="AI120" s="248"/>
      <c r="AJ120" s="250"/>
      <c r="AK120" s="251"/>
    </row>
    <row r="121" spans="1:37" x14ac:dyDescent="0.3">
      <c r="A121" s="536"/>
      <c r="B121" s="93"/>
      <c r="C121" s="93"/>
      <c r="D121" s="93"/>
      <c r="E121" s="93"/>
      <c r="F121" s="286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 t="s">
        <v>803</v>
      </c>
      <c r="X121" s="93"/>
      <c r="Y121" s="93"/>
      <c r="Z121" s="93"/>
      <c r="AA121" s="93"/>
      <c r="AB121" s="93"/>
      <c r="AC121" s="248" t="s">
        <v>682</v>
      </c>
      <c r="AD121" s="248" t="s">
        <v>205</v>
      </c>
      <c r="AE121" s="250">
        <v>220</v>
      </c>
      <c r="AF121" s="251">
        <v>22</v>
      </c>
      <c r="AG121" s="93"/>
      <c r="AH121" s="248" t="s">
        <v>418</v>
      </c>
      <c r="AI121" s="248" t="s">
        <v>347</v>
      </c>
      <c r="AJ121" s="250">
        <v>210</v>
      </c>
      <c r="AK121" s="251">
        <v>30</v>
      </c>
    </row>
    <row r="122" spans="1:37" x14ac:dyDescent="0.3">
      <c r="A122" s="536"/>
      <c r="B122" s="93"/>
      <c r="C122" s="93"/>
      <c r="D122" s="93"/>
      <c r="E122" s="93"/>
      <c r="F122" s="286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 t="s">
        <v>804</v>
      </c>
      <c r="X122" s="93"/>
      <c r="Y122" s="93"/>
      <c r="Z122" s="93"/>
      <c r="AA122" s="93"/>
      <c r="AB122" s="93"/>
      <c r="AC122" s="248" t="s">
        <v>683</v>
      </c>
      <c r="AD122" s="248" t="s">
        <v>205</v>
      </c>
      <c r="AE122" s="250">
        <v>752</v>
      </c>
      <c r="AF122" s="251">
        <v>32</v>
      </c>
      <c r="AG122" s="93"/>
      <c r="AH122" s="248" t="s">
        <v>734</v>
      </c>
      <c r="AI122" s="248" t="s">
        <v>347</v>
      </c>
      <c r="AJ122" s="250">
        <v>36</v>
      </c>
      <c r="AK122" s="251">
        <v>8</v>
      </c>
    </row>
    <row r="123" spans="1:37" x14ac:dyDescent="0.3">
      <c r="A123" s="536"/>
      <c r="B123" s="93"/>
      <c r="C123" s="93"/>
      <c r="D123" s="93"/>
      <c r="E123" s="93"/>
      <c r="F123" s="286"/>
      <c r="G123" s="93"/>
      <c r="H123" s="93"/>
      <c r="I123" s="93"/>
      <c r="J123" s="93"/>
      <c r="K123" s="93"/>
      <c r="L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248" t="s">
        <v>684</v>
      </c>
      <c r="AD123" s="248" t="s">
        <v>205</v>
      </c>
      <c r="AE123" s="250">
        <v>161</v>
      </c>
      <c r="AF123" s="251">
        <v>23</v>
      </c>
      <c r="AG123" s="93"/>
      <c r="AH123" s="248" t="s">
        <v>735</v>
      </c>
      <c r="AI123" s="248" t="s">
        <v>347</v>
      </c>
      <c r="AJ123" s="250">
        <v>27</v>
      </c>
      <c r="AK123" s="251">
        <v>8</v>
      </c>
    </row>
    <row r="124" spans="1:37" x14ac:dyDescent="0.3">
      <c r="A124" s="536"/>
      <c r="B124" s="93"/>
      <c r="C124" s="93"/>
      <c r="D124" s="93"/>
      <c r="E124" s="93"/>
      <c r="F124" s="286"/>
      <c r="G124" s="93"/>
      <c r="H124" s="93"/>
      <c r="I124" s="93"/>
      <c r="J124" s="93"/>
      <c r="K124" s="93"/>
      <c r="L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248" t="s">
        <v>685</v>
      </c>
      <c r="AD124" s="248" t="s">
        <v>205</v>
      </c>
      <c r="AE124" s="250">
        <v>161</v>
      </c>
      <c r="AF124" s="251">
        <v>23</v>
      </c>
      <c r="AG124" s="93"/>
      <c r="AH124" s="248" t="s">
        <v>736</v>
      </c>
      <c r="AI124" s="248" t="s">
        <v>347</v>
      </c>
      <c r="AJ124" s="250">
        <v>75</v>
      </c>
      <c r="AK124" s="251">
        <v>8</v>
      </c>
    </row>
    <row r="125" spans="1:37" x14ac:dyDescent="0.3">
      <c r="A125" s="536"/>
      <c r="B125" s="93"/>
      <c r="C125" s="93"/>
      <c r="D125" s="93"/>
      <c r="E125" s="93"/>
      <c r="F125" s="286"/>
      <c r="G125" s="93"/>
      <c r="H125" s="93"/>
      <c r="I125" s="93"/>
      <c r="J125" s="93"/>
      <c r="K125" s="93"/>
      <c r="L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248" t="s">
        <v>210</v>
      </c>
      <c r="AD125" s="248" t="s">
        <v>205</v>
      </c>
      <c r="AE125" s="250">
        <v>352</v>
      </c>
      <c r="AF125" s="251">
        <v>64</v>
      </c>
      <c r="AG125" s="93"/>
      <c r="AH125" s="248" t="s">
        <v>168</v>
      </c>
      <c r="AI125" s="248" t="s">
        <v>348</v>
      </c>
      <c r="AJ125" s="250">
        <v>452.36</v>
      </c>
      <c r="AK125" s="251">
        <v>138</v>
      </c>
    </row>
    <row r="126" spans="1:37" x14ac:dyDescent="0.3">
      <c r="A126" s="536"/>
      <c r="B126" s="93"/>
      <c r="C126" s="93"/>
      <c r="D126" s="93"/>
      <c r="E126" s="93"/>
      <c r="F126" s="286"/>
      <c r="G126" s="93"/>
      <c r="H126" s="93"/>
      <c r="I126" s="93"/>
      <c r="J126" s="93"/>
      <c r="K126" s="93"/>
      <c r="L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248" t="s">
        <v>686</v>
      </c>
      <c r="AD126" s="248" t="s">
        <v>205</v>
      </c>
      <c r="AE126" s="250">
        <v>28</v>
      </c>
      <c r="AF126" s="251">
        <v>4</v>
      </c>
      <c r="AG126" s="93"/>
      <c r="AH126" s="248" t="s">
        <v>737</v>
      </c>
      <c r="AI126" s="248" t="s">
        <v>348</v>
      </c>
      <c r="AJ126" s="250">
        <v>40</v>
      </c>
      <c r="AK126" s="251">
        <v>8</v>
      </c>
    </row>
    <row r="127" spans="1:37" x14ac:dyDescent="0.3">
      <c r="A127" s="536"/>
      <c r="B127" s="93"/>
      <c r="C127" s="93"/>
      <c r="D127" s="93"/>
      <c r="E127" s="93"/>
      <c r="F127" s="286"/>
      <c r="G127" s="93"/>
      <c r="H127" s="93"/>
      <c r="I127" s="93"/>
      <c r="J127" s="93"/>
      <c r="K127" s="93"/>
      <c r="L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248" t="s">
        <v>687</v>
      </c>
      <c r="AD127" s="248" t="s">
        <v>205</v>
      </c>
      <c r="AE127" s="250">
        <v>22</v>
      </c>
      <c r="AF127" s="251">
        <v>2</v>
      </c>
      <c r="AG127" s="93"/>
      <c r="AH127" s="248" t="s">
        <v>392</v>
      </c>
      <c r="AI127" s="248" t="s">
        <v>393</v>
      </c>
      <c r="AJ127" s="250">
        <v>64</v>
      </c>
      <c r="AK127" s="251">
        <v>16</v>
      </c>
    </row>
    <row r="128" spans="1:37" x14ac:dyDescent="0.3">
      <c r="A128" s="536"/>
      <c r="B128" s="93"/>
      <c r="C128" s="93"/>
      <c r="D128" s="93"/>
      <c r="E128" s="93"/>
      <c r="F128" s="286"/>
      <c r="G128" s="93"/>
      <c r="H128" s="93"/>
      <c r="I128" s="93"/>
      <c r="J128" s="93"/>
      <c r="K128" s="93"/>
      <c r="L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248" t="s">
        <v>416</v>
      </c>
      <c r="AD128" s="248" t="s">
        <v>205</v>
      </c>
      <c r="AE128" s="250">
        <v>128</v>
      </c>
      <c r="AF128" s="251">
        <v>8</v>
      </c>
      <c r="AG128" s="93"/>
      <c r="AH128" s="248" t="s">
        <v>738</v>
      </c>
      <c r="AI128" s="248" t="s">
        <v>560</v>
      </c>
      <c r="AJ128" s="250">
        <v>250</v>
      </c>
      <c r="AK128" s="251">
        <v>320</v>
      </c>
    </row>
    <row r="129" spans="1:37" x14ac:dyDescent="0.3">
      <c r="A129" s="536"/>
      <c r="B129" s="93"/>
      <c r="C129" s="93"/>
      <c r="D129" s="93"/>
      <c r="E129" s="93"/>
      <c r="F129" s="286"/>
      <c r="G129" s="93"/>
      <c r="H129" s="93"/>
      <c r="I129" s="93"/>
      <c r="J129" s="93"/>
      <c r="K129" s="93"/>
      <c r="L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248" t="s">
        <v>688</v>
      </c>
      <c r="AD129" s="248" t="s">
        <v>205</v>
      </c>
      <c r="AE129" s="250">
        <v>286.72000000000003</v>
      </c>
      <c r="AF129" s="251">
        <v>16</v>
      </c>
      <c r="AG129" s="93"/>
      <c r="AH129" s="248" t="s">
        <v>240</v>
      </c>
      <c r="AI129" s="248" t="s">
        <v>560</v>
      </c>
      <c r="AJ129" s="250">
        <v>556.79999999999995</v>
      </c>
      <c r="AK129" s="251">
        <v>928</v>
      </c>
    </row>
    <row r="130" spans="1:37" x14ac:dyDescent="0.3">
      <c r="A130" s="536"/>
      <c r="B130" s="93"/>
      <c r="C130" s="93"/>
      <c r="D130" s="93"/>
      <c r="E130" s="93"/>
      <c r="F130" s="286"/>
      <c r="G130" s="93"/>
      <c r="H130" s="93"/>
      <c r="I130" s="93"/>
      <c r="J130" s="93"/>
      <c r="K130" s="93"/>
      <c r="L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248" t="s">
        <v>305</v>
      </c>
      <c r="AD130" s="248" t="s">
        <v>205</v>
      </c>
      <c r="AE130" s="250">
        <v>1200</v>
      </c>
      <c r="AF130" s="251">
        <v>120</v>
      </c>
      <c r="AG130" s="93"/>
      <c r="AH130" s="248" t="s">
        <v>296</v>
      </c>
      <c r="AI130" s="248" t="s">
        <v>242</v>
      </c>
      <c r="AJ130" s="250">
        <v>24</v>
      </c>
      <c r="AK130" s="251">
        <v>1</v>
      </c>
    </row>
    <row r="131" spans="1:37" x14ac:dyDescent="0.3">
      <c r="A131" s="536"/>
      <c r="B131" s="93"/>
      <c r="C131" s="93"/>
      <c r="D131" s="93"/>
      <c r="E131" s="93"/>
      <c r="F131" s="286"/>
      <c r="G131" s="93"/>
      <c r="H131" s="93"/>
      <c r="I131" s="93"/>
      <c r="J131" s="93"/>
      <c r="K131" s="93"/>
      <c r="L131" s="93"/>
      <c r="O131" s="93"/>
      <c r="P131" s="93"/>
      <c r="Q131" s="93"/>
      <c r="R131" s="93"/>
      <c r="S131" s="93"/>
      <c r="T131" s="93"/>
      <c r="U131" s="93"/>
      <c r="V131" s="93"/>
      <c r="W131" s="93"/>
      <c r="X131" s="208"/>
      <c r="Y131" s="93"/>
      <c r="Z131" s="93"/>
      <c r="AA131" s="93"/>
      <c r="AB131" s="93"/>
      <c r="AC131" s="248" t="s">
        <v>401</v>
      </c>
      <c r="AD131" s="248" t="s">
        <v>205</v>
      </c>
      <c r="AE131" s="250">
        <v>910</v>
      </c>
      <c r="AF131" s="251">
        <v>91</v>
      </c>
      <c r="AG131" s="93"/>
      <c r="AH131" s="248" t="s">
        <v>349</v>
      </c>
      <c r="AI131" s="248" t="s">
        <v>242</v>
      </c>
      <c r="AJ131" s="250">
        <v>759.98</v>
      </c>
      <c r="AK131" s="251">
        <v>11</v>
      </c>
    </row>
    <row r="132" spans="1:37" x14ac:dyDescent="0.3">
      <c r="A132" s="536"/>
      <c r="B132" s="93"/>
      <c r="C132" s="93"/>
      <c r="D132" s="93"/>
      <c r="E132" s="93"/>
      <c r="F132" s="286"/>
      <c r="G132" s="93"/>
      <c r="H132" s="93"/>
      <c r="I132" s="93"/>
      <c r="J132" s="93"/>
      <c r="K132" s="93"/>
      <c r="L132" s="93"/>
      <c r="O132" s="93"/>
      <c r="P132" s="93"/>
      <c r="Q132" s="93"/>
      <c r="R132" s="93"/>
      <c r="S132" s="93"/>
      <c r="T132" s="93"/>
      <c r="U132" s="93"/>
      <c r="V132" s="93"/>
      <c r="W132" s="93"/>
      <c r="X132" s="208"/>
      <c r="Y132" s="93"/>
      <c r="Z132" s="93"/>
      <c r="AA132" s="93"/>
      <c r="AB132" s="93"/>
      <c r="AC132" s="248" t="s">
        <v>400</v>
      </c>
      <c r="AD132" s="248" t="s">
        <v>205</v>
      </c>
      <c r="AE132" s="250">
        <v>910</v>
      </c>
      <c r="AF132" s="251">
        <v>91</v>
      </c>
      <c r="AG132" s="93"/>
      <c r="AH132" s="248" t="s">
        <v>739</v>
      </c>
      <c r="AI132" s="248" t="s">
        <v>242</v>
      </c>
      <c r="AJ132" s="250">
        <v>61.2</v>
      </c>
      <c r="AK132" s="251">
        <v>2</v>
      </c>
    </row>
    <row r="133" spans="1:37" x14ac:dyDescent="0.3">
      <c r="A133" s="536"/>
      <c r="B133" s="93"/>
      <c r="C133" s="93"/>
      <c r="D133" s="93"/>
      <c r="E133" s="93"/>
      <c r="F133" s="286"/>
      <c r="G133" s="93"/>
      <c r="H133" s="93"/>
      <c r="I133" s="93"/>
      <c r="J133" s="93"/>
      <c r="K133" s="93"/>
      <c r="L133" s="93"/>
      <c r="O133" s="93"/>
      <c r="P133" s="93"/>
      <c r="Q133" s="93"/>
      <c r="R133" s="93"/>
      <c r="S133" s="93"/>
      <c r="T133" s="93"/>
      <c r="U133" s="93"/>
      <c r="V133" s="93"/>
      <c r="W133" s="93"/>
      <c r="X133" s="208"/>
      <c r="Y133" s="93"/>
      <c r="Z133" s="93"/>
      <c r="AA133" s="93"/>
      <c r="AB133" s="93"/>
      <c r="AC133" s="248" t="s">
        <v>689</v>
      </c>
      <c r="AD133" s="248" t="s">
        <v>205</v>
      </c>
      <c r="AE133" s="250">
        <v>400</v>
      </c>
      <c r="AF133" s="251">
        <v>16</v>
      </c>
      <c r="AG133" s="93"/>
      <c r="AH133" s="248" t="s">
        <v>740</v>
      </c>
      <c r="AI133" s="248" t="s">
        <v>242</v>
      </c>
      <c r="AJ133" s="250">
        <v>87.08</v>
      </c>
      <c r="AK133" s="251">
        <v>3</v>
      </c>
    </row>
    <row r="134" spans="1:37" x14ac:dyDescent="0.3">
      <c r="A134" s="536"/>
      <c r="B134" s="93"/>
      <c r="C134" s="93"/>
      <c r="D134" s="93"/>
      <c r="E134" s="93"/>
      <c r="F134" s="286"/>
      <c r="G134" s="93"/>
      <c r="H134" s="93"/>
      <c r="I134" s="93"/>
      <c r="J134" s="93"/>
      <c r="K134" s="93"/>
      <c r="L134" s="93"/>
      <c r="O134" s="93"/>
      <c r="P134" s="93"/>
      <c r="Q134" s="93"/>
      <c r="R134" s="93"/>
      <c r="S134" s="93"/>
      <c r="T134" s="93"/>
      <c r="U134" s="93"/>
      <c r="V134" s="93"/>
      <c r="W134" s="93"/>
      <c r="X134" s="208"/>
      <c r="Y134" s="93"/>
      <c r="Z134" s="93"/>
      <c r="AA134" s="93"/>
      <c r="AB134" s="93"/>
      <c r="AC134" s="248" t="s">
        <v>214</v>
      </c>
      <c r="AD134" s="248" t="s">
        <v>205</v>
      </c>
      <c r="AE134" s="250">
        <v>1925</v>
      </c>
      <c r="AF134" s="251">
        <v>77</v>
      </c>
      <c r="AG134" s="93"/>
      <c r="AH134" s="248" t="s">
        <v>243</v>
      </c>
      <c r="AI134" s="248" t="s">
        <v>242</v>
      </c>
      <c r="AJ134" s="250">
        <v>126.84</v>
      </c>
      <c r="AK134" s="251">
        <v>4</v>
      </c>
    </row>
    <row r="135" spans="1:37" x14ac:dyDescent="0.3">
      <c r="A135" s="536"/>
      <c r="B135" s="93"/>
      <c r="C135" s="93"/>
      <c r="D135" s="252"/>
      <c r="E135" s="93"/>
      <c r="F135" s="286"/>
      <c r="G135" s="93"/>
      <c r="H135" s="93"/>
      <c r="I135" s="93"/>
      <c r="J135" s="93"/>
      <c r="K135" s="93"/>
      <c r="L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248" t="s">
        <v>690</v>
      </c>
      <c r="AD135" s="248" t="s">
        <v>205</v>
      </c>
      <c r="AE135" s="250">
        <v>100</v>
      </c>
      <c r="AF135" s="251">
        <v>10</v>
      </c>
      <c r="AG135" s="93"/>
      <c r="AH135" s="248" t="s">
        <v>448</v>
      </c>
      <c r="AI135" s="248" t="s">
        <v>242</v>
      </c>
      <c r="AJ135" s="250">
        <v>437.39</v>
      </c>
      <c r="AK135" s="251">
        <v>7</v>
      </c>
    </row>
    <row r="136" spans="1:37" x14ac:dyDescent="0.3">
      <c r="A136" s="536"/>
      <c r="B136" s="93"/>
      <c r="C136" s="93"/>
      <c r="D136" s="252"/>
      <c r="E136" s="93"/>
      <c r="F136" s="286"/>
      <c r="G136" s="93"/>
      <c r="H136" s="93"/>
      <c r="I136" s="93"/>
      <c r="J136" s="93"/>
      <c r="K136" s="93"/>
      <c r="L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248" t="s">
        <v>691</v>
      </c>
      <c r="AD136" s="248" t="s">
        <v>205</v>
      </c>
      <c r="AE136" s="250">
        <v>100</v>
      </c>
      <c r="AF136" s="251">
        <v>10</v>
      </c>
      <c r="AG136" s="93"/>
      <c r="AH136" s="248" t="s">
        <v>741</v>
      </c>
      <c r="AI136" s="248" t="s">
        <v>242</v>
      </c>
      <c r="AJ136" s="250">
        <v>54.88</v>
      </c>
      <c r="AK136" s="251">
        <v>2</v>
      </c>
    </row>
    <row r="137" spans="1:37" x14ac:dyDescent="0.3">
      <c r="A137" s="536"/>
      <c r="B137" s="93"/>
      <c r="C137" s="93"/>
      <c r="D137" s="252"/>
      <c r="E137" s="93"/>
      <c r="F137" s="286"/>
      <c r="G137" s="93"/>
      <c r="H137" s="93"/>
      <c r="I137" s="93"/>
      <c r="J137" s="93"/>
      <c r="K137" s="93"/>
      <c r="L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248" t="s">
        <v>211</v>
      </c>
      <c r="AD137" s="248" t="s">
        <v>205</v>
      </c>
      <c r="AE137" s="250">
        <v>340</v>
      </c>
      <c r="AF137" s="251">
        <v>20</v>
      </c>
      <c r="AG137" s="93"/>
      <c r="AH137" s="248" t="s">
        <v>578</v>
      </c>
      <c r="AI137" s="248" t="s">
        <v>242</v>
      </c>
      <c r="AJ137" s="250">
        <v>775.5</v>
      </c>
      <c r="AK137" s="251">
        <v>47</v>
      </c>
    </row>
    <row r="138" spans="1:37" x14ac:dyDescent="0.3">
      <c r="A138" s="536"/>
      <c r="B138" s="93"/>
      <c r="C138" s="93"/>
      <c r="D138" s="252"/>
      <c r="E138" s="93"/>
      <c r="F138" s="286"/>
      <c r="G138" s="252"/>
      <c r="H138" s="93"/>
      <c r="I138" s="93"/>
      <c r="J138" s="93"/>
      <c r="K138" s="93"/>
      <c r="L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248" t="s">
        <v>316</v>
      </c>
      <c r="AD138" s="248" t="s">
        <v>205</v>
      </c>
      <c r="AE138" s="250">
        <v>110</v>
      </c>
      <c r="AF138" s="251">
        <v>18</v>
      </c>
      <c r="AG138" s="93"/>
      <c r="AH138" s="248" t="s">
        <v>617</v>
      </c>
      <c r="AI138" s="248" t="s">
        <v>242</v>
      </c>
      <c r="AJ138" s="250">
        <v>152.28</v>
      </c>
      <c r="AK138" s="251">
        <v>4</v>
      </c>
    </row>
    <row r="139" spans="1:37" x14ac:dyDescent="0.3">
      <c r="A139" s="536"/>
      <c r="B139" s="93"/>
      <c r="C139" s="93"/>
      <c r="D139" s="252"/>
      <c r="E139" s="93"/>
      <c r="F139" s="286"/>
      <c r="G139" s="252"/>
      <c r="H139" s="93"/>
      <c r="I139" s="93"/>
      <c r="J139" s="93"/>
      <c r="K139" s="93"/>
      <c r="L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248" t="s">
        <v>692</v>
      </c>
      <c r="AD139" s="248" t="s">
        <v>205</v>
      </c>
      <c r="AE139" s="250">
        <v>28</v>
      </c>
      <c r="AF139" s="251">
        <v>8</v>
      </c>
      <c r="AG139" s="93"/>
      <c r="AH139" s="248" t="s">
        <v>742</v>
      </c>
      <c r="AI139" s="248" t="s">
        <v>242</v>
      </c>
      <c r="AJ139" s="250">
        <v>247.5</v>
      </c>
      <c r="AK139" s="251">
        <v>15</v>
      </c>
    </row>
    <row r="140" spans="1:37" ht="17.399999999999999" x14ac:dyDescent="0.35">
      <c r="A140" s="536"/>
      <c r="B140" s="164"/>
      <c r="C140" s="164"/>
      <c r="D140" s="165"/>
      <c r="E140" s="164"/>
      <c r="F140" s="287"/>
      <c r="G140" s="164"/>
      <c r="H140" s="164"/>
      <c r="I140" s="164"/>
      <c r="J140" s="164"/>
      <c r="K140" s="164"/>
      <c r="L140" s="93"/>
      <c r="O140" s="93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93"/>
      <c r="AC140" s="248" t="s">
        <v>367</v>
      </c>
      <c r="AD140" s="248" t="s">
        <v>205</v>
      </c>
      <c r="AE140" s="250">
        <v>520</v>
      </c>
      <c r="AF140" s="251">
        <v>52</v>
      </c>
      <c r="AG140" s="93"/>
      <c r="AH140" s="248" t="s">
        <v>361</v>
      </c>
      <c r="AI140" s="248" t="s">
        <v>242</v>
      </c>
      <c r="AJ140" s="250">
        <v>532.05999999999995</v>
      </c>
      <c r="AK140" s="251">
        <v>14</v>
      </c>
    </row>
    <row r="141" spans="1:37" ht="17.399999999999999" x14ac:dyDescent="0.35">
      <c r="A141" s="536"/>
      <c r="B141" s="164"/>
      <c r="C141" s="164"/>
      <c r="D141" s="165"/>
      <c r="E141" s="164"/>
      <c r="F141" s="287"/>
      <c r="G141" s="164"/>
      <c r="H141" s="164"/>
      <c r="I141" s="164"/>
      <c r="J141" s="164"/>
      <c r="K141" s="164"/>
      <c r="L141" s="93"/>
      <c r="O141" s="93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93"/>
      <c r="AC141" s="248" t="s">
        <v>693</v>
      </c>
      <c r="AD141" s="248" t="s">
        <v>205</v>
      </c>
      <c r="AE141" s="250">
        <v>16.2</v>
      </c>
      <c r="AF141" s="251">
        <v>4</v>
      </c>
      <c r="AG141" s="93"/>
      <c r="AH141" s="248" t="s">
        <v>362</v>
      </c>
      <c r="AI141" s="248" t="s">
        <v>242</v>
      </c>
      <c r="AJ141" s="250">
        <v>1116.25</v>
      </c>
      <c r="AK141" s="251">
        <v>25</v>
      </c>
    </row>
    <row r="142" spans="1:37" ht="17.399999999999999" x14ac:dyDescent="0.35">
      <c r="A142" s="536"/>
      <c r="B142" s="164"/>
      <c r="C142" s="164"/>
      <c r="D142" s="165"/>
      <c r="E142" s="164"/>
      <c r="F142" s="287"/>
      <c r="G142" s="164"/>
      <c r="H142" s="164"/>
      <c r="I142" s="164"/>
      <c r="J142" s="164"/>
      <c r="K142" s="164"/>
      <c r="L142" s="93"/>
      <c r="M142" s="93"/>
      <c r="N142" s="93"/>
      <c r="O142" s="93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93"/>
      <c r="AC142" s="248" t="s">
        <v>694</v>
      </c>
      <c r="AD142" s="248" t="s">
        <v>205</v>
      </c>
      <c r="AE142" s="250">
        <v>52.5</v>
      </c>
      <c r="AF142" s="251">
        <v>7</v>
      </c>
      <c r="AG142" s="93"/>
      <c r="AH142" s="248" t="s">
        <v>352</v>
      </c>
      <c r="AI142" s="248" t="s">
        <v>242</v>
      </c>
      <c r="AJ142" s="250">
        <v>2427.1999999999998</v>
      </c>
      <c r="AK142" s="251">
        <v>51</v>
      </c>
    </row>
    <row r="143" spans="1:37" ht="17.399999999999999" x14ac:dyDescent="0.35">
      <c r="A143" s="536"/>
      <c r="B143" s="164"/>
      <c r="C143" s="164"/>
      <c r="D143" s="254">
        <f>SUM(D100:D111)</f>
        <v>244749.6</v>
      </c>
      <c r="E143" s="164"/>
      <c r="F143" s="287"/>
      <c r="G143" s="164"/>
      <c r="H143" s="164"/>
      <c r="I143" s="254">
        <f>SUM(I100:I113)</f>
        <v>226382</v>
      </c>
      <c r="J143" s="164"/>
      <c r="K143" s="164"/>
      <c r="L143" s="164"/>
      <c r="M143" s="164"/>
      <c r="N143" s="254">
        <f>SUM(N100:N115)</f>
        <v>123566.8</v>
      </c>
      <c r="O143" s="164"/>
      <c r="P143" s="164"/>
      <c r="Q143" s="164"/>
      <c r="R143" s="164"/>
      <c r="S143" s="254">
        <f>SUM(S100:S119)</f>
        <v>216585.8</v>
      </c>
      <c r="T143" s="164"/>
      <c r="U143" s="164"/>
      <c r="V143" s="164"/>
      <c r="W143" s="164"/>
      <c r="X143" s="254">
        <f>SUM(X100:X137)</f>
        <v>46265.5</v>
      </c>
      <c r="Y143" s="164"/>
      <c r="Z143" s="164"/>
      <c r="AA143" s="164"/>
      <c r="AB143" s="93"/>
      <c r="AC143" s="248" t="s">
        <v>695</v>
      </c>
      <c r="AD143" s="248" t="s">
        <v>205</v>
      </c>
      <c r="AE143" s="250">
        <v>120</v>
      </c>
      <c r="AF143" s="251">
        <v>8</v>
      </c>
      <c r="AG143" s="93"/>
      <c r="AH143" s="248" t="s">
        <v>271</v>
      </c>
      <c r="AI143" s="248" t="s">
        <v>242</v>
      </c>
      <c r="AJ143" s="250">
        <v>513.26</v>
      </c>
      <c r="AK143" s="251">
        <v>21</v>
      </c>
    </row>
    <row r="144" spans="1:37" ht="17.399999999999999" x14ac:dyDescent="0.35">
      <c r="A144" s="536"/>
      <c r="B144" s="164"/>
      <c r="C144" s="164"/>
      <c r="D144" s="164"/>
      <c r="E144" s="164"/>
      <c r="F144" s="287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93"/>
      <c r="AC144" s="248" t="s">
        <v>696</v>
      </c>
      <c r="AD144" s="248" t="s">
        <v>205</v>
      </c>
      <c r="AE144" s="250">
        <v>120</v>
      </c>
      <c r="AF144" s="251">
        <v>8</v>
      </c>
      <c r="AG144" s="93"/>
      <c r="AH144" s="248" t="s">
        <v>363</v>
      </c>
      <c r="AI144" s="248" t="s">
        <v>242</v>
      </c>
      <c r="AJ144" s="250">
        <v>170</v>
      </c>
      <c r="AK144" s="251">
        <v>15</v>
      </c>
    </row>
    <row r="145" spans="1:37" ht="17.399999999999999" x14ac:dyDescent="0.35">
      <c r="A145" s="536"/>
      <c r="B145" s="164"/>
      <c r="C145" s="164"/>
      <c r="D145" s="164"/>
      <c r="E145" s="164"/>
      <c r="F145" s="287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93"/>
      <c r="AC145" s="248" t="s">
        <v>697</v>
      </c>
      <c r="AD145" s="248" t="s">
        <v>205</v>
      </c>
      <c r="AE145" s="250">
        <v>120</v>
      </c>
      <c r="AF145" s="251">
        <v>8</v>
      </c>
      <c r="AG145" s="93"/>
      <c r="AH145" s="248" t="s">
        <v>353</v>
      </c>
      <c r="AI145" s="248" t="s">
        <v>242</v>
      </c>
      <c r="AJ145" s="250">
        <v>489</v>
      </c>
      <c r="AK145" s="251">
        <v>44</v>
      </c>
    </row>
    <row r="146" spans="1:37" ht="17.399999999999999" x14ac:dyDescent="0.35">
      <c r="A146" s="536"/>
      <c r="B146" s="164"/>
      <c r="C146" s="255"/>
      <c r="D146" s="522" t="s">
        <v>219</v>
      </c>
      <c r="E146" s="523"/>
      <c r="F146" s="533" t="s">
        <v>220</v>
      </c>
      <c r="G146" s="533"/>
      <c r="H146" s="533" t="s">
        <v>221</v>
      </c>
      <c r="I146" s="533"/>
      <c r="J146" s="533" t="s">
        <v>222</v>
      </c>
      <c r="K146" s="533"/>
      <c r="L146" s="522" t="s">
        <v>223</v>
      </c>
      <c r="M146" s="523"/>
      <c r="N146" s="533" t="s">
        <v>224</v>
      </c>
      <c r="O146" s="533"/>
      <c r="P146" s="533" t="s">
        <v>225</v>
      </c>
      <c r="Q146" s="533"/>
      <c r="R146" s="533" t="s">
        <v>226</v>
      </c>
      <c r="S146" s="533"/>
      <c r="T146" s="533" t="s">
        <v>227</v>
      </c>
      <c r="U146" s="533"/>
      <c r="V146" s="533" t="s">
        <v>228</v>
      </c>
      <c r="W146" s="533"/>
      <c r="X146" s="533" t="s">
        <v>229</v>
      </c>
      <c r="Y146" s="533"/>
      <c r="Z146" s="533" t="s">
        <v>230</v>
      </c>
      <c r="AA146" s="533"/>
      <c r="AB146" s="93"/>
      <c r="AC146" s="248" t="s">
        <v>698</v>
      </c>
      <c r="AD146" s="248" t="s">
        <v>205</v>
      </c>
      <c r="AE146" s="250">
        <v>120</v>
      </c>
      <c r="AF146" s="251">
        <v>8</v>
      </c>
      <c r="AG146" s="93"/>
      <c r="AH146" s="248" t="s">
        <v>354</v>
      </c>
      <c r="AI146" s="248" t="s">
        <v>242</v>
      </c>
      <c r="AJ146" s="250">
        <v>236</v>
      </c>
      <c r="AK146" s="251">
        <v>21</v>
      </c>
    </row>
    <row r="147" spans="1:37" ht="17.399999999999999" x14ac:dyDescent="0.35">
      <c r="A147" s="536"/>
      <c r="B147" s="164"/>
      <c r="C147" s="256" t="s">
        <v>233</v>
      </c>
      <c r="D147" s="257">
        <v>124163</v>
      </c>
      <c r="E147" s="257">
        <f>D147/60</f>
        <v>2069.3833333333332</v>
      </c>
      <c r="F147" s="296">
        <f>I143</f>
        <v>226382</v>
      </c>
      <c r="G147" s="257">
        <f>F147/60</f>
        <v>3773.0333333333333</v>
      </c>
      <c r="H147" s="255"/>
      <c r="I147" s="255"/>
      <c r="J147" s="255"/>
      <c r="K147" s="255"/>
      <c r="L147" s="258"/>
      <c r="M147" s="255"/>
      <c r="N147" s="255"/>
      <c r="O147" s="255"/>
      <c r="P147" s="259"/>
      <c r="Q147" s="255"/>
      <c r="R147" s="259"/>
      <c r="S147" s="255"/>
      <c r="T147" s="259"/>
      <c r="U147" s="255"/>
      <c r="V147" s="259"/>
      <c r="W147" s="255"/>
      <c r="X147" s="259"/>
      <c r="Y147" s="255"/>
      <c r="Z147" s="259"/>
      <c r="AA147" s="255"/>
      <c r="AB147" s="260"/>
      <c r="AC147" s="253" t="s">
        <v>178</v>
      </c>
      <c r="AD147" s="253" t="s">
        <v>205</v>
      </c>
      <c r="AE147" s="261">
        <v>159.6</v>
      </c>
      <c r="AF147" s="262">
        <v>38</v>
      </c>
      <c r="AG147" s="93"/>
      <c r="AH147" s="248" t="s">
        <v>355</v>
      </c>
      <c r="AI147" s="248" t="s">
        <v>242</v>
      </c>
      <c r="AJ147" s="250">
        <v>1438</v>
      </c>
      <c r="AK147" s="251">
        <v>20</v>
      </c>
    </row>
    <row r="148" spans="1:37" ht="17.399999999999999" x14ac:dyDescent="0.35">
      <c r="A148" s="536"/>
      <c r="B148" s="164"/>
      <c r="C148" s="256" t="s">
        <v>234</v>
      </c>
      <c r="D148" s="257">
        <v>172515.20000000001</v>
      </c>
      <c r="E148" s="257">
        <f>D148/60</f>
        <v>2875.2533333333336</v>
      </c>
      <c r="F148" s="296">
        <f>D143</f>
        <v>244749.6</v>
      </c>
      <c r="G148" s="257">
        <f>F148/60</f>
        <v>4079.1600000000003</v>
      </c>
      <c r="H148" s="255"/>
      <c r="I148" s="255"/>
      <c r="J148" s="255"/>
      <c r="K148" s="255"/>
      <c r="L148" s="255"/>
      <c r="M148" s="255"/>
      <c r="N148" s="255"/>
      <c r="O148" s="255"/>
      <c r="P148" s="259"/>
      <c r="Q148" s="255"/>
      <c r="R148" s="259"/>
      <c r="S148" s="255"/>
      <c r="T148" s="259"/>
      <c r="U148" s="255"/>
      <c r="V148" s="259"/>
      <c r="W148" s="255"/>
      <c r="X148" s="255"/>
      <c r="Y148" s="255"/>
      <c r="Z148" s="259"/>
      <c r="AA148" s="255"/>
      <c r="AB148" s="93"/>
      <c r="AC148" s="248" t="s">
        <v>699</v>
      </c>
      <c r="AD148" s="248" t="s">
        <v>205</v>
      </c>
      <c r="AE148" s="250">
        <v>21.9</v>
      </c>
      <c r="AF148" s="251">
        <v>3</v>
      </c>
      <c r="AG148" s="93"/>
      <c r="AH148" s="248" t="s">
        <v>356</v>
      </c>
      <c r="AI148" s="248" t="s">
        <v>242</v>
      </c>
      <c r="AJ148" s="250">
        <v>619.5</v>
      </c>
      <c r="AK148" s="251">
        <v>10</v>
      </c>
    </row>
    <row r="149" spans="1:37" ht="17.399999999999999" x14ac:dyDescent="0.35">
      <c r="A149" s="536"/>
      <c r="B149" s="164"/>
      <c r="C149" s="256" t="s">
        <v>236</v>
      </c>
      <c r="D149" s="257">
        <v>157647.1</v>
      </c>
      <c r="E149" s="257">
        <f t="shared" ref="E149:E151" si="14">D149/60</f>
        <v>2627.4516666666668</v>
      </c>
      <c r="F149" s="296">
        <f>S143</f>
        <v>216585.8</v>
      </c>
      <c r="G149" s="257">
        <f t="shared" ref="G149:G151" si="15">F149/60</f>
        <v>3609.7633333333333</v>
      </c>
      <c r="H149" s="255"/>
      <c r="I149" s="255"/>
      <c r="J149" s="255"/>
      <c r="K149" s="255"/>
      <c r="L149" s="255"/>
      <c r="M149" s="255"/>
      <c r="N149" s="255"/>
      <c r="O149" s="255"/>
      <c r="P149" s="259"/>
      <c r="Q149" s="255"/>
      <c r="R149" s="259"/>
      <c r="S149" s="255"/>
      <c r="T149" s="259"/>
      <c r="U149" s="255"/>
      <c r="V149" s="259"/>
      <c r="W149" s="255"/>
      <c r="X149" s="255"/>
      <c r="Y149" s="255"/>
      <c r="Z149" s="259"/>
      <c r="AA149" s="255"/>
      <c r="AB149" s="93"/>
      <c r="AC149" s="248" t="s">
        <v>700</v>
      </c>
      <c r="AD149" s="248" t="s">
        <v>205</v>
      </c>
      <c r="AE149" s="250">
        <v>25.3</v>
      </c>
      <c r="AF149" s="251">
        <v>11</v>
      </c>
      <c r="AG149" s="93"/>
      <c r="AH149" s="248" t="s">
        <v>520</v>
      </c>
      <c r="AI149" s="248" t="s">
        <v>242</v>
      </c>
      <c r="AJ149" s="250">
        <v>1711.2</v>
      </c>
      <c r="AK149" s="251">
        <v>40</v>
      </c>
    </row>
    <row r="150" spans="1:37" ht="17.399999999999999" x14ac:dyDescent="0.35">
      <c r="A150" s="536"/>
      <c r="B150" s="164"/>
      <c r="C150" s="256" t="s">
        <v>237</v>
      </c>
      <c r="D150" s="257">
        <v>74670</v>
      </c>
      <c r="E150" s="257">
        <f t="shared" si="14"/>
        <v>1244.5</v>
      </c>
      <c r="F150" s="296">
        <f>N143</f>
        <v>123566.8</v>
      </c>
      <c r="G150" s="257">
        <f t="shared" si="15"/>
        <v>2059.4466666666667</v>
      </c>
      <c r="H150" s="255"/>
      <c r="I150" s="255"/>
      <c r="J150" s="255"/>
      <c r="K150" s="255"/>
      <c r="L150" s="255"/>
      <c r="M150" s="255"/>
      <c r="N150" s="255"/>
      <c r="O150" s="255"/>
      <c r="P150" s="259"/>
      <c r="Q150" s="255"/>
      <c r="R150" s="259"/>
      <c r="S150" s="255"/>
      <c r="T150" s="259"/>
      <c r="U150" s="255"/>
      <c r="V150" s="259"/>
      <c r="W150" s="255"/>
      <c r="X150" s="255"/>
      <c r="Y150" s="255"/>
      <c r="Z150" s="259"/>
      <c r="AA150" s="255"/>
      <c r="AB150" s="93"/>
      <c r="AC150" s="248" t="s">
        <v>501</v>
      </c>
      <c r="AD150" s="248" t="s">
        <v>205</v>
      </c>
      <c r="AE150" s="250">
        <v>459</v>
      </c>
      <c r="AF150" s="251">
        <v>18</v>
      </c>
      <c r="AG150" s="93"/>
      <c r="AH150" s="248" t="s">
        <v>359</v>
      </c>
      <c r="AI150" s="248" t="s">
        <v>242</v>
      </c>
      <c r="AJ150" s="250">
        <v>836</v>
      </c>
      <c r="AK150" s="251">
        <v>40</v>
      </c>
    </row>
    <row r="151" spans="1:37" ht="17.399999999999999" x14ac:dyDescent="0.35">
      <c r="A151" s="536"/>
      <c r="B151" s="164"/>
      <c r="C151" s="256" t="s">
        <v>238</v>
      </c>
      <c r="D151" s="257">
        <v>6660.85</v>
      </c>
      <c r="E151" s="257">
        <f t="shared" si="14"/>
        <v>111.01416666666667</v>
      </c>
      <c r="F151" s="296">
        <f>X143</f>
        <v>46265.5</v>
      </c>
      <c r="G151" s="257">
        <f t="shared" si="15"/>
        <v>771.0916666666667</v>
      </c>
      <c r="H151" s="255"/>
      <c r="I151" s="255"/>
      <c r="J151" s="255"/>
      <c r="K151" s="255"/>
      <c r="L151" s="263"/>
      <c r="M151" s="255"/>
      <c r="N151" s="263"/>
      <c r="O151" s="255"/>
      <c r="P151" s="264"/>
      <c r="Q151" s="255"/>
      <c r="R151" s="264"/>
      <c r="S151" s="255"/>
      <c r="T151" s="264"/>
      <c r="U151" s="255"/>
      <c r="V151" s="264"/>
      <c r="W151" s="255"/>
      <c r="X151" s="263"/>
      <c r="Y151" s="255"/>
      <c r="Z151" s="263"/>
      <c r="AA151" s="255"/>
      <c r="AB151" s="93"/>
      <c r="AC151" s="248" t="s">
        <v>701</v>
      </c>
      <c r="AD151" s="248" t="s">
        <v>205</v>
      </c>
      <c r="AE151" s="250">
        <v>252</v>
      </c>
      <c r="AF151" s="251">
        <v>56</v>
      </c>
      <c r="AG151" s="93"/>
      <c r="AH151" s="248" t="s">
        <v>580</v>
      </c>
      <c r="AI151" s="248" t="s">
        <v>242</v>
      </c>
      <c r="AJ151" s="250">
        <v>2481.14</v>
      </c>
      <c r="AK151" s="251">
        <v>66</v>
      </c>
    </row>
    <row r="152" spans="1:37" ht="17.399999999999999" x14ac:dyDescent="0.35">
      <c r="A152" s="536"/>
      <c r="B152" s="265"/>
      <c r="C152" s="256" t="s">
        <v>239</v>
      </c>
      <c r="D152" s="257">
        <v>3672</v>
      </c>
      <c r="E152" s="257">
        <f>D152/60</f>
        <v>61.2</v>
      </c>
      <c r="F152" s="296">
        <f>AK195</f>
        <v>72295.34</v>
      </c>
      <c r="G152" s="257">
        <f>F152/60</f>
        <v>1204.9223333333332</v>
      </c>
      <c r="H152" s="255"/>
      <c r="I152" s="255"/>
      <c r="J152" s="255"/>
      <c r="K152" s="255"/>
      <c r="L152" s="255"/>
      <c r="M152" s="255"/>
      <c r="N152" s="255"/>
      <c r="O152" s="255"/>
      <c r="P152" s="255"/>
      <c r="Q152" s="255"/>
      <c r="R152" s="255"/>
      <c r="S152" s="255"/>
      <c r="T152" s="255"/>
      <c r="U152" s="255"/>
      <c r="V152" s="255"/>
      <c r="W152" s="255"/>
      <c r="X152" s="255"/>
      <c r="Y152" s="255"/>
      <c r="Z152" s="255"/>
      <c r="AA152" s="255"/>
      <c r="AB152" s="93"/>
      <c r="AC152" s="248" t="s">
        <v>702</v>
      </c>
      <c r="AD152" s="248" t="s">
        <v>205</v>
      </c>
      <c r="AE152" s="250">
        <v>157.5</v>
      </c>
      <c r="AF152" s="251">
        <v>15</v>
      </c>
      <c r="AG152" s="93"/>
      <c r="AH152" s="248" t="s">
        <v>581</v>
      </c>
      <c r="AI152" s="248" t="s">
        <v>242</v>
      </c>
      <c r="AJ152" s="250">
        <v>2011.37</v>
      </c>
      <c r="AK152" s="251">
        <v>53</v>
      </c>
    </row>
    <row r="153" spans="1:37" ht="17.399999999999999" x14ac:dyDescent="0.35">
      <c r="A153" s="536"/>
      <c r="B153" s="164"/>
      <c r="C153" s="162"/>
      <c r="D153" s="163"/>
      <c r="E153" s="266">
        <f>SUM(E147:E152)</f>
        <v>8988.8024999999998</v>
      </c>
      <c r="F153" s="288"/>
      <c r="G153" s="266">
        <f>SUM(G147:G152)</f>
        <v>15497.417333333335</v>
      </c>
      <c r="H153" s="255"/>
      <c r="I153" s="268"/>
      <c r="J153" s="255"/>
      <c r="K153" s="267"/>
      <c r="L153" s="255"/>
      <c r="M153" s="267"/>
      <c r="N153" s="255"/>
      <c r="O153" s="267"/>
      <c r="P153" s="255"/>
      <c r="Q153" s="267"/>
      <c r="R153" s="255"/>
      <c r="S153" s="268"/>
      <c r="T153" s="255"/>
      <c r="U153" s="267"/>
      <c r="V153" s="255"/>
      <c r="W153" s="267"/>
      <c r="X153" s="255"/>
      <c r="Y153" s="267"/>
      <c r="Z153" s="255"/>
      <c r="AA153" s="269"/>
      <c r="AB153" s="93"/>
      <c r="AC153" s="248" t="s">
        <v>703</v>
      </c>
      <c r="AD153" s="248" t="s">
        <v>205</v>
      </c>
      <c r="AE153" s="250">
        <v>24.08</v>
      </c>
      <c r="AF153" s="251">
        <v>8</v>
      </c>
      <c r="AG153" s="93"/>
      <c r="AH153" s="248" t="s">
        <v>582</v>
      </c>
      <c r="AI153" s="248" t="s">
        <v>242</v>
      </c>
      <c r="AJ153" s="250">
        <v>2565.7199999999998</v>
      </c>
      <c r="AK153" s="251">
        <v>68</v>
      </c>
    </row>
    <row r="154" spans="1:37" ht="17.399999999999999" x14ac:dyDescent="0.35">
      <c r="A154" s="536"/>
      <c r="B154" s="164"/>
      <c r="C154" s="164"/>
      <c r="D154" s="164"/>
      <c r="E154" s="164"/>
      <c r="F154" s="287"/>
      <c r="G154" s="164"/>
      <c r="H154" s="164"/>
      <c r="I154" s="164"/>
      <c r="J154" s="164"/>
      <c r="K154" s="164"/>
      <c r="L154" s="164"/>
      <c r="M154" s="165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93"/>
      <c r="AC154" s="248" t="s">
        <v>704</v>
      </c>
      <c r="AD154" s="248" t="s">
        <v>205</v>
      </c>
      <c r="AE154" s="250">
        <v>15.2</v>
      </c>
      <c r="AF154" s="251">
        <v>8</v>
      </c>
      <c r="AG154" s="93"/>
      <c r="AH154" s="248" t="s">
        <v>743</v>
      </c>
      <c r="AI154" s="248" t="s">
        <v>242</v>
      </c>
      <c r="AJ154" s="250">
        <v>790.2</v>
      </c>
      <c r="AK154" s="251">
        <v>13</v>
      </c>
    </row>
    <row r="155" spans="1:37" x14ac:dyDescent="0.3">
      <c r="A155" s="536"/>
      <c r="B155" s="93"/>
      <c r="C155" s="93"/>
      <c r="D155" s="93"/>
      <c r="E155" s="93"/>
      <c r="F155" s="286"/>
      <c r="G155" s="93"/>
      <c r="H155" s="93"/>
      <c r="I155" s="93"/>
      <c r="J155" s="93"/>
      <c r="K155" s="93"/>
      <c r="L155" s="93"/>
      <c r="M155" s="93"/>
      <c r="N155" s="252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248" t="s">
        <v>705</v>
      </c>
      <c r="AD155" s="248" t="s">
        <v>205</v>
      </c>
      <c r="AE155" s="250">
        <v>20</v>
      </c>
      <c r="AF155" s="251">
        <v>8</v>
      </c>
      <c r="AG155" s="93"/>
      <c r="AH155" s="248" t="s">
        <v>744</v>
      </c>
      <c r="AI155" s="248" t="s">
        <v>242</v>
      </c>
      <c r="AJ155" s="250">
        <v>123.9</v>
      </c>
      <c r="AK155" s="251">
        <v>2</v>
      </c>
    </row>
    <row r="156" spans="1:37" x14ac:dyDescent="0.3">
      <c r="A156" s="536"/>
      <c r="B156" s="93"/>
      <c r="C156" s="93"/>
      <c r="D156" s="93"/>
      <c r="E156" s="93"/>
      <c r="F156" s="286"/>
      <c r="G156" s="93"/>
      <c r="H156" s="93"/>
      <c r="I156" s="93"/>
      <c r="J156" s="93"/>
      <c r="K156" s="93"/>
      <c r="L156" s="208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248" t="s">
        <v>706</v>
      </c>
      <c r="AD156" s="248" t="s">
        <v>205</v>
      </c>
      <c r="AE156" s="250">
        <v>17.760000000000002</v>
      </c>
      <c r="AF156" s="251">
        <v>8</v>
      </c>
      <c r="AG156" s="93"/>
      <c r="AH156" s="248" t="s">
        <v>745</v>
      </c>
      <c r="AI156" s="248" t="s">
        <v>242</v>
      </c>
      <c r="AJ156" s="250">
        <v>184.61</v>
      </c>
      <c r="AK156" s="251">
        <v>3</v>
      </c>
    </row>
    <row r="157" spans="1:37" x14ac:dyDescent="0.3">
      <c r="A157" s="536"/>
      <c r="B157" s="93"/>
      <c r="C157" s="93"/>
      <c r="D157" s="93"/>
      <c r="E157" s="93"/>
      <c r="F157" s="286"/>
      <c r="G157" s="93"/>
      <c r="H157" s="93"/>
      <c r="I157" s="93"/>
      <c r="J157" s="93"/>
      <c r="K157" s="93"/>
      <c r="L157" s="208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248" t="s">
        <v>707</v>
      </c>
      <c r="AD157" s="248" t="s">
        <v>205</v>
      </c>
      <c r="AE157" s="250">
        <v>32</v>
      </c>
      <c r="AF157" s="251">
        <v>8</v>
      </c>
      <c r="AG157" s="93"/>
      <c r="AH157" s="248" t="s">
        <v>746</v>
      </c>
      <c r="AI157" s="248" t="s">
        <v>242</v>
      </c>
      <c r="AJ157" s="250">
        <v>170.66</v>
      </c>
      <c r="AK157" s="251">
        <v>2</v>
      </c>
    </row>
    <row r="158" spans="1:37" ht="15" thickBot="1" x14ac:dyDescent="0.35">
      <c r="A158" s="536"/>
      <c r="B158" s="93"/>
      <c r="C158" s="93"/>
      <c r="D158" s="93"/>
      <c r="E158" s="93"/>
      <c r="F158" s="286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248" t="s">
        <v>708</v>
      </c>
      <c r="AD158" s="248" t="s">
        <v>205</v>
      </c>
      <c r="AE158" s="250">
        <v>381</v>
      </c>
      <c r="AF158" s="251">
        <v>8</v>
      </c>
      <c r="AG158" s="93"/>
      <c r="AH158" s="248" t="s">
        <v>747</v>
      </c>
      <c r="AI158" s="248" t="s">
        <v>242</v>
      </c>
      <c r="AJ158" s="250">
        <v>150.36000000000001</v>
      </c>
      <c r="AK158" s="251">
        <v>4</v>
      </c>
    </row>
    <row r="159" spans="1:37" ht="31.8" thickBot="1" x14ac:dyDescent="0.65">
      <c r="A159" s="536"/>
      <c r="B159" s="525" t="s">
        <v>246</v>
      </c>
      <c r="C159" s="525"/>
      <c r="D159" s="525"/>
      <c r="E159" s="525"/>
      <c r="F159" s="525"/>
      <c r="G159" s="525"/>
      <c r="H159" s="525"/>
      <c r="I159" s="525"/>
      <c r="J159" s="525"/>
      <c r="K159" s="525"/>
      <c r="L159" s="525"/>
      <c r="M159" s="525"/>
      <c r="N159" s="525"/>
      <c r="O159" s="525"/>
      <c r="P159" s="525"/>
      <c r="Q159" s="525"/>
      <c r="R159" s="525"/>
      <c r="S159" s="525"/>
      <c r="T159" s="525"/>
      <c r="U159" s="525"/>
      <c r="V159" s="525"/>
      <c r="W159" s="525"/>
      <c r="X159" s="525"/>
      <c r="Y159" s="525"/>
      <c r="Z159" s="525"/>
      <c r="AA159" s="526"/>
      <c r="AB159" s="93"/>
      <c r="AC159" s="248" t="s">
        <v>776</v>
      </c>
      <c r="AD159" s="248" t="s">
        <v>311</v>
      </c>
      <c r="AE159" s="250">
        <v>132</v>
      </c>
      <c r="AF159" s="251">
        <v>8</v>
      </c>
      <c r="AG159" s="93"/>
      <c r="AH159" s="248" t="s">
        <v>748</v>
      </c>
      <c r="AI159" s="248" t="s">
        <v>242</v>
      </c>
      <c r="AJ159" s="250">
        <v>295.72000000000003</v>
      </c>
      <c r="AK159" s="251">
        <v>8</v>
      </c>
    </row>
    <row r="160" spans="1:37" ht="17.399999999999999" thickBot="1" x14ac:dyDescent="0.35">
      <c r="A160" s="536"/>
      <c r="B160" s="527"/>
      <c r="C160" s="527"/>
      <c r="D160" s="166" t="s">
        <v>247</v>
      </c>
      <c r="E160" s="167" t="s">
        <v>248</v>
      </c>
      <c r="F160" s="289" t="s">
        <v>249</v>
      </c>
      <c r="G160" s="169" t="s">
        <v>250</v>
      </c>
      <c r="H160" s="166" t="s">
        <v>251</v>
      </c>
      <c r="I160" s="167" t="s">
        <v>252</v>
      </c>
      <c r="J160" s="168" t="s">
        <v>253</v>
      </c>
      <c r="K160" s="169" t="s">
        <v>254</v>
      </c>
      <c r="L160" s="166" t="s">
        <v>255</v>
      </c>
      <c r="M160" s="167" t="s">
        <v>256</v>
      </c>
      <c r="N160" s="168" t="s">
        <v>257</v>
      </c>
      <c r="O160" s="169" t="s">
        <v>258</v>
      </c>
      <c r="P160" s="166" t="s">
        <v>259</v>
      </c>
      <c r="Q160" s="167" t="s">
        <v>260</v>
      </c>
      <c r="R160" s="166" t="s">
        <v>261</v>
      </c>
      <c r="S160" s="167" t="s">
        <v>262</v>
      </c>
      <c r="T160" s="166" t="s">
        <v>263</v>
      </c>
      <c r="U160" s="166" t="s">
        <v>264</v>
      </c>
      <c r="V160" s="166" t="s">
        <v>265</v>
      </c>
      <c r="W160" s="170" t="s">
        <v>266</v>
      </c>
      <c r="X160" s="166" t="s">
        <v>267</v>
      </c>
      <c r="Y160" s="170" t="s">
        <v>268</v>
      </c>
      <c r="Z160" s="166" t="s">
        <v>269</v>
      </c>
      <c r="AA160" s="170" t="s">
        <v>270</v>
      </c>
      <c r="AB160" s="93"/>
      <c r="AC160" s="248" t="s">
        <v>777</v>
      </c>
      <c r="AD160" s="248" t="s">
        <v>311</v>
      </c>
      <c r="AE160" s="250">
        <v>32</v>
      </c>
      <c r="AF160" s="251">
        <v>8</v>
      </c>
      <c r="AG160" s="93"/>
      <c r="AH160" s="248" t="s">
        <v>519</v>
      </c>
      <c r="AI160" s="248" t="s">
        <v>242</v>
      </c>
      <c r="AJ160" s="250">
        <v>555.5</v>
      </c>
      <c r="AK160" s="251">
        <v>10</v>
      </c>
    </row>
    <row r="161" spans="1:37" ht="18" thickBot="1" x14ac:dyDescent="0.4">
      <c r="A161" s="536"/>
      <c r="B161" s="159">
        <v>110012</v>
      </c>
      <c r="C161" s="171" t="s">
        <v>272</v>
      </c>
      <c r="D161" s="203">
        <v>706307.45</v>
      </c>
      <c r="E161" s="204">
        <f>D161/60</f>
        <v>11771.790833333333</v>
      </c>
      <c r="F161" s="297">
        <v>953892</v>
      </c>
      <c r="G161" s="204">
        <f>F161/60</f>
        <v>15898.2</v>
      </c>
      <c r="H161" s="172"/>
      <c r="I161" s="174">
        <f>H161/60</f>
        <v>0</v>
      </c>
      <c r="J161" s="175"/>
      <c r="K161" s="173">
        <f>J161/60</f>
        <v>0</v>
      </c>
      <c r="L161" s="172"/>
      <c r="M161" s="173">
        <f>L161/60</f>
        <v>0</v>
      </c>
      <c r="N161" s="176"/>
      <c r="O161" s="173">
        <f>N161/60</f>
        <v>0</v>
      </c>
      <c r="P161" s="177"/>
      <c r="Q161" s="173">
        <f>P161/60</f>
        <v>0</v>
      </c>
      <c r="R161" s="176"/>
      <c r="S161" s="173">
        <f>R161/60</f>
        <v>0</v>
      </c>
      <c r="T161" s="176"/>
      <c r="U161" s="173">
        <f>T161/60</f>
        <v>0</v>
      </c>
      <c r="V161" s="176"/>
      <c r="W161" s="173">
        <f>V161/60</f>
        <v>0</v>
      </c>
      <c r="X161" s="176"/>
      <c r="Y161" s="173">
        <f>X161/60</f>
        <v>0</v>
      </c>
      <c r="Z161" s="176"/>
      <c r="AA161" s="173">
        <f>Z161/60</f>
        <v>0</v>
      </c>
      <c r="AB161" s="93"/>
      <c r="AC161" s="248" t="s">
        <v>778</v>
      </c>
      <c r="AD161" s="248" t="s">
        <v>311</v>
      </c>
      <c r="AE161" s="250">
        <v>152</v>
      </c>
      <c r="AF161" s="251">
        <v>8</v>
      </c>
      <c r="AG161" s="93"/>
      <c r="AH161" s="248" t="s">
        <v>749</v>
      </c>
      <c r="AI161" s="248" t="s">
        <v>750</v>
      </c>
      <c r="AJ161" s="250">
        <v>660</v>
      </c>
      <c r="AK161" s="251">
        <v>40</v>
      </c>
    </row>
    <row r="162" spans="1:37" ht="18" thickBot="1" x14ac:dyDescent="0.4">
      <c r="A162" s="536"/>
      <c r="B162" s="160">
        <v>110050</v>
      </c>
      <c r="C162" s="178" t="s">
        <v>274</v>
      </c>
      <c r="D162" s="203">
        <v>94798.28</v>
      </c>
      <c r="E162" s="204">
        <f>D162/60</f>
        <v>1579.9713333333334</v>
      </c>
      <c r="F162" s="297">
        <v>142327.5</v>
      </c>
      <c r="G162" s="281">
        <f>F162/60</f>
        <v>2372.125</v>
      </c>
      <c r="H162" s="179"/>
      <c r="I162" s="180">
        <f>H162/60</f>
        <v>0</v>
      </c>
      <c r="J162" s="181"/>
      <c r="K162" s="180">
        <f>J162/60</f>
        <v>0</v>
      </c>
      <c r="L162" s="179"/>
      <c r="M162" s="180">
        <f>L162/60</f>
        <v>0</v>
      </c>
      <c r="N162" s="182"/>
      <c r="O162" s="180">
        <f>N162/60</f>
        <v>0</v>
      </c>
      <c r="P162" s="183"/>
      <c r="Q162" s="180">
        <f>P162/60</f>
        <v>0</v>
      </c>
      <c r="R162" s="182"/>
      <c r="S162" s="180">
        <f>R162/60</f>
        <v>0</v>
      </c>
      <c r="T162" s="182"/>
      <c r="U162" s="184">
        <f>T162/60</f>
        <v>0</v>
      </c>
      <c r="V162" s="182"/>
      <c r="W162" s="184">
        <f>V162/60</f>
        <v>0</v>
      </c>
      <c r="X162" s="182"/>
      <c r="Y162" s="184">
        <f>X162/60</f>
        <v>0</v>
      </c>
      <c r="Z162" s="182"/>
      <c r="AA162" s="184">
        <f>Z162/60</f>
        <v>0</v>
      </c>
      <c r="AB162" s="93"/>
      <c r="AC162" s="248" t="s">
        <v>779</v>
      </c>
      <c r="AD162" s="248" t="s">
        <v>311</v>
      </c>
      <c r="AE162" s="250">
        <v>128</v>
      </c>
      <c r="AF162" s="251">
        <v>8</v>
      </c>
      <c r="AG162" s="93"/>
      <c r="AH162" s="248" t="s">
        <v>751</v>
      </c>
      <c r="AI162" s="248" t="s">
        <v>752</v>
      </c>
      <c r="AJ162" s="250">
        <v>58</v>
      </c>
      <c r="AK162" s="251">
        <v>2</v>
      </c>
    </row>
    <row r="163" spans="1:37" ht="18" thickBot="1" x14ac:dyDescent="0.4">
      <c r="A163" s="536"/>
      <c r="B163" s="160">
        <v>110051</v>
      </c>
      <c r="C163" s="178" t="s">
        <v>276</v>
      </c>
      <c r="D163" s="203">
        <v>55925.482000000004</v>
      </c>
      <c r="E163" s="204">
        <f t="shared" ref="E163:E171" si="16">D163/60</f>
        <v>932.09136666666677</v>
      </c>
      <c r="F163" s="297">
        <v>110164.546</v>
      </c>
      <c r="G163" s="281">
        <f>F163/60</f>
        <v>1836.0757666666666</v>
      </c>
      <c r="H163" s="179"/>
      <c r="I163" s="180">
        <f>H163/60</f>
        <v>0</v>
      </c>
      <c r="J163" s="181"/>
      <c r="K163" s="180">
        <f>J163/60</f>
        <v>0</v>
      </c>
      <c r="L163" s="179"/>
      <c r="M163" s="180">
        <f>L163/60</f>
        <v>0</v>
      </c>
      <c r="N163" s="182"/>
      <c r="O163" s="180">
        <f>N163/60</f>
        <v>0</v>
      </c>
      <c r="P163" s="183"/>
      <c r="Q163" s="180">
        <f>P163/60</f>
        <v>0</v>
      </c>
      <c r="R163" s="182"/>
      <c r="S163" s="180">
        <f>R163/60</f>
        <v>0</v>
      </c>
      <c r="T163" s="182"/>
      <c r="U163" s="184">
        <f>T163/60</f>
        <v>0</v>
      </c>
      <c r="V163" s="182"/>
      <c r="W163" s="184">
        <f>V163/60</f>
        <v>0</v>
      </c>
      <c r="X163" s="182"/>
      <c r="Y163" s="184">
        <f>X163/60</f>
        <v>0</v>
      </c>
      <c r="Z163" s="182"/>
      <c r="AA163" s="184">
        <f>Z163/60</f>
        <v>0</v>
      </c>
      <c r="AB163" s="93"/>
      <c r="AC163" s="248" t="s">
        <v>780</v>
      </c>
      <c r="AD163" s="248" t="s">
        <v>311</v>
      </c>
      <c r="AE163" s="250">
        <v>176</v>
      </c>
      <c r="AF163" s="251">
        <v>16</v>
      </c>
      <c r="AG163" s="93"/>
      <c r="AH163" s="248" t="s">
        <v>753</v>
      </c>
      <c r="AI163" s="248" t="s">
        <v>431</v>
      </c>
      <c r="AJ163" s="250">
        <v>171</v>
      </c>
      <c r="AK163" s="251">
        <v>3</v>
      </c>
    </row>
    <row r="164" spans="1:37" ht="18" thickBot="1" x14ac:dyDescent="0.4">
      <c r="A164" s="536"/>
      <c r="B164" s="160">
        <v>110015</v>
      </c>
      <c r="C164" s="178" t="s">
        <v>278</v>
      </c>
      <c r="D164" s="203">
        <v>66273.13</v>
      </c>
      <c r="E164" s="204">
        <f t="shared" si="16"/>
        <v>1104.5521666666668</v>
      </c>
      <c r="F164" s="299">
        <v>119406.5</v>
      </c>
      <c r="G164" s="281">
        <f t="shared" ref="G164" si="17">F164/60</f>
        <v>1990.1083333333333</v>
      </c>
      <c r="H164" s="182"/>
      <c r="I164" s="185"/>
      <c r="J164" s="186"/>
      <c r="K164" s="185"/>
      <c r="L164" s="179"/>
      <c r="M164" s="185"/>
      <c r="N164" s="182"/>
      <c r="O164" s="185"/>
      <c r="P164" s="183"/>
      <c r="Q164" s="185"/>
      <c r="R164" s="182"/>
      <c r="S164" s="185"/>
      <c r="T164" s="182"/>
      <c r="U164" s="185"/>
      <c r="V164" s="182"/>
      <c r="W164" s="185"/>
      <c r="X164" s="182"/>
      <c r="Y164" s="185"/>
      <c r="Z164" s="182"/>
      <c r="AA164" s="185"/>
      <c r="AB164" s="93"/>
      <c r="AC164" s="248" t="s">
        <v>781</v>
      </c>
      <c r="AD164" s="248" t="s">
        <v>313</v>
      </c>
      <c r="AE164" s="250">
        <v>7.5</v>
      </c>
      <c r="AF164" s="251">
        <v>5</v>
      </c>
      <c r="AG164" s="93"/>
      <c r="AH164" s="248" t="s">
        <v>754</v>
      </c>
      <c r="AI164" s="248" t="s">
        <v>431</v>
      </c>
      <c r="AJ164" s="250">
        <v>312</v>
      </c>
      <c r="AK164" s="251">
        <v>4</v>
      </c>
    </row>
    <row r="165" spans="1:37" ht="17.399999999999999" x14ac:dyDescent="0.35">
      <c r="A165" s="536"/>
      <c r="B165" s="160">
        <v>110011</v>
      </c>
      <c r="C165" s="178" t="s">
        <v>281</v>
      </c>
      <c r="D165" s="203">
        <v>36110.400000000001</v>
      </c>
      <c r="E165" s="204">
        <f t="shared" si="16"/>
        <v>601.84</v>
      </c>
      <c r="F165" s="299">
        <v>56314.400000000001</v>
      </c>
      <c r="G165" s="281">
        <f>F165/60</f>
        <v>938.57333333333338</v>
      </c>
      <c r="H165" s="182"/>
      <c r="I165" s="185"/>
      <c r="J165" s="186"/>
      <c r="K165" s="185"/>
      <c r="L165" s="179"/>
      <c r="M165" s="185"/>
      <c r="N165" s="182"/>
      <c r="O165" s="185"/>
      <c r="P165" s="183"/>
      <c r="Q165" s="185"/>
      <c r="R165" s="182"/>
      <c r="S165" s="185"/>
      <c r="T165" s="182"/>
      <c r="U165" s="185"/>
      <c r="V165" s="182"/>
      <c r="W165" s="185"/>
      <c r="X165" s="182"/>
      <c r="Y165" s="185"/>
      <c r="Z165" s="182"/>
      <c r="AA165" s="185"/>
      <c r="AB165" s="93"/>
      <c r="AC165" s="248" t="s">
        <v>525</v>
      </c>
      <c r="AD165" s="248" t="s">
        <v>313</v>
      </c>
      <c r="AE165" s="250">
        <v>56</v>
      </c>
      <c r="AF165" s="251">
        <v>16</v>
      </c>
      <c r="AG165" s="93"/>
      <c r="AH165" s="248" t="s">
        <v>372</v>
      </c>
      <c r="AI165" s="248" t="s">
        <v>431</v>
      </c>
      <c r="AJ165" s="250">
        <v>26</v>
      </c>
      <c r="AK165" s="251">
        <v>1</v>
      </c>
    </row>
    <row r="166" spans="1:37" ht="17.399999999999999" x14ac:dyDescent="0.35">
      <c r="A166" s="536"/>
      <c r="B166" s="160"/>
      <c r="C166" s="178" t="s">
        <v>283</v>
      </c>
      <c r="D166" s="206">
        <v>92763</v>
      </c>
      <c r="E166" s="206">
        <f>D166/60</f>
        <v>1546.05</v>
      </c>
      <c r="F166" s="298">
        <f>SUM(F164:F165)</f>
        <v>175720.9</v>
      </c>
      <c r="G166" s="281">
        <f>F166/60</f>
        <v>2928.6816666666664</v>
      </c>
      <c r="H166" s="179"/>
      <c r="I166" s="180">
        <f t="shared" ref="I166:I171" si="18">H166/60</f>
        <v>0</v>
      </c>
      <c r="J166" s="179"/>
      <c r="K166" s="180">
        <f t="shared" ref="K166:K171" si="19">J166/60</f>
        <v>0</v>
      </c>
      <c r="L166" s="179"/>
      <c r="M166" s="180">
        <f t="shared" ref="M166:M171" si="20">L166/60</f>
        <v>0</v>
      </c>
      <c r="N166" s="179"/>
      <c r="O166" s="180">
        <f t="shared" ref="O166:O171" si="21">N166/60</f>
        <v>0</v>
      </c>
      <c r="P166" s="187"/>
      <c r="Q166" s="180">
        <f t="shared" ref="Q166:Q171" si="22">P166/60</f>
        <v>0</v>
      </c>
      <c r="R166" s="187"/>
      <c r="S166" s="180">
        <f t="shared" ref="S166:S171" si="23">R166/60</f>
        <v>0</v>
      </c>
      <c r="T166" s="187"/>
      <c r="U166" s="180">
        <f t="shared" ref="U166:U171" si="24">T166/60</f>
        <v>0</v>
      </c>
      <c r="V166" s="187"/>
      <c r="W166" s="180">
        <f t="shared" ref="W166:W171" si="25">V166/60</f>
        <v>0</v>
      </c>
      <c r="X166" s="187"/>
      <c r="Y166" s="180">
        <f t="shared" ref="Y166:Y171" si="26">X166/60</f>
        <v>0</v>
      </c>
      <c r="Z166" s="187"/>
      <c r="AA166" s="180">
        <f t="shared" ref="AA166:AA171" si="27">Z166/60</f>
        <v>0</v>
      </c>
      <c r="AB166" s="93"/>
      <c r="AC166" s="248" t="s">
        <v>583</v>
      </c>
      <c r="AD166" s="248" t="s">
        <v>313</v>
      </c>
      <c r="AE166" s="250">
        <v>115.5</v>
      </c>
      <c r="AF166" s="251">
        <v>33</v>
      </c>
      <c r="AG166" s="93"/>
      <c r="AH166" s="248" t="s">
        <v>755</v>
      </c>
      <c r="AI166" s="248" t="s">
        <v>431</v>
      </c>
      <c r="AJ166" s="250">
        <v>579.6</v>
      </c>
      <c r="AK166" s="251">
        <v>10</v>
      </c>
    </row>
    <row r="167" spans="1:37" ht="17.399999999999999" x14ac:dyDescent="0.35">
      <c r="A167" s="536"/>
      <c r="B167" s="160">
        <v>110030</v>
      </c>
      <c r="C167" s="188" t="s">
        <v>285</v>
      </c>
      <c r="D167" s="203">
        <v>31354</v>
      </c>
      <c r="E167" s="205">
        <f t="shared" si="16"/>
        <v>522.56666666666672</v>
      </c>
      <c r="F167" s="298">
        <v>61195.6</v>
      </c>
      <c r="G167" s="205">
        <f>F167/60</f>
        <v>1019.9266666666666</v>
      </c>
      <c r="H167" s="179"/>
      <c r="I167" s="189">
        <f t="shared" si="18"/>
        <v>0</v>
      </c>
      <c r="J167" s="181"/>
      <c r="K167" s="189">
        <f t="shared" si="19"/>
        <v>0</v>
      </c>
      <c r="L167" s="179"/>
      <c r="M167" s="189">
        <f t="shared" si="20"/>
        <v>0</v>
      </c>
      <c r="N167" s="182"/>
      <c r="O167" s="189">
        <f t="shared" si="21"/>
        <v>0</v>
      </c>
      <c r="P167" s="183"/>
      <c r="Q167" s="189">
        <f t="shared" si="22"/>
        <v>0</v>
      </c>
      <c r="R167" s="182"/>
      <c r="S167" s="189">
        <f t="shared" si="23"/>
        <v>0</v>
      </c>
      <c r="T167" s="182"/>
      <c r="U167" s="189">
        <f t="shared" si="24"/>
        <v>0</v>
      </c>
      <c r="V167" s="182"/>
      <c r="W167" s="189">
        <f t="shared" si="25"/>
        <v>0</v>
      </c>
      <c r="X167" s="182"/>
      <c r="Y167" s="189">
        <f t="shared" si="26"/>
        <v>0</v>
      </c>
      <c r="Z167" s="187"/>
      <c r="AA167" s="189">
        <f t="shared" si="27"/>
        <v>0</v>
      </c>
      <c r="AB167" s="93"/>
      <c r="AC167" s="248" t="s">
        <v>312</v>
      </c>
      <c r="AD167" s="248" t="s">
        <v>313</v>
      </c>
      <c r="AE167" s="250">
        <v>13.2</v>
      </c>
      <c r="AF167" s="251">
        <v>4</v>
      </c>
      <c r="AG167" s="93"/>
      <c r="AH167" s="248" t="s">
        <v>756</v>
      </c>
      <c r="AI167" s="248" t="s">
        <v>431</v>
      </c>
      <c r="AJ167" s="250">
        <v>2040</v>
      </c>
      <c r="AK167" s="251">
        <v>6</v>
      </c>
    </row>
    <row r="168" spans="1:37" ht="17.399999999999999" x14ac:dyDescent="0.35">
      <c r="A168" s="536"/>
      <c r="B168" s="160">
        <v>110100</v>
      </c>
      <c r="C168" s="188" t="s">
        <v>287</v>
      </c>
      <c r="D168" s="203">
        <v>125435</v>
      </c>
      <c r="E168" s="205">
        <f t="shared" si="16"/>
        <v>2090.5833333333335</v>
      </c>
      <c r="F168" s="298">
        <v>186939</v>
      </c>
      <c r="G168" s="205">
        <f t="shared" ref="G168:G171" si="28">F168/60</f>
        <v>3115.65</v>
      </c>
      <c r="H168" s="179"/>
      <c r="I168" s="189">
        <f t="shared" si="18"/>
        <v>0</v>
      </c>
      <c r="J168" s="181"/>
      <c r="K168" s="189">
        <f t="shared" si="19"/>
        <v>0</v>
      </c>
      <c r="L168" s="179"/>
      <c r="M168" s="189">
        <f t="shared" si="20"/>
        <v>0</v>
      </c>
      <c r="N168" s="182"/>
      <c r="O168" s="189">
        <f t="shared" si="21"/>
        <v>0</v>
      </c>
      <c r="P168" s="183"/>
      <c r="Q168" s="189">
        <f t="shared" si="22"/>
        <v>0</v>
      </c>
      <c r="R168" s="182"/>
      <c r="S168" s="189">
        <f t="shared" si="23"/>
        <v>0</v>
      </c>
      <c r="T168" s="182"/>
      <c r="U168" s="189">
        <f t="shared" si="24"/>
        <v>0</v>
      </c>
      <c r="V168" s="182"/>
      <c r="W168" s="189">
        <f t="shared" si="25"/>
        <v>0</v>
      </c>
      <c r="X168" s="182"/>
      <c r="Y168" s="189">
        <f t="shared" si="26"/>
        <v>0</v>
      </c>
      <c r="Z168" s="182"/>
      <c r="AA168" s="189">
        <f t="shared" si="27"/>
        <v>0</v>
      </c>
      <c r="AB168" s="93"/>
      <c r="AC168" s="248" t="s">
        <v>782</v>
      </c>
      <c r="AD168" s="248" t="s">
        <v>313</v>
      </c>
      <c r="AE168" s="248">
        <v>91</v>
      </c>
      <c r="AF168" s="251">
        <v>26</v>
      </c>
      <c r="AG168" s="93"/>
      <c r="AH168" s="248" t="s">
        <v>757</v>
      </c>
      <c r="AI168" s="248" t="s">
        <v>431</v>
      </c>
      <c r="AJ168" s="250">
        <v>135</v>
      </c>
      <c r="AK168" s="251">
        <v>3</v>
      </c>
    </row>
    <row r="169" spans="1:37" ht="17.399999999999999" x14ac:dyDescent="0.35">
      <c r="A169" s="536"/>
      <c r="B169" s="160">
        <v>110110</v>
      </c>
      <c r="C169" s="190" t="s">
        <v>289</v>
      </c>
      <c r="D169" s="203">
        <v>291894</v>
      </c>
      <c r="E169" s="205">
        <f t="shared" si="16"/>
        <v>4864.8999999999996</v>
      </c>
      <c r="F169" s="298">
        <v>468510</v>
      </c>
      <c r="G169" s="205">
        <f t="shared" si="28"/>
        <v>7808.5</v>
      </c>
      <c r="H169" s="192"/>
      <c r="I169" s="193">
        <f t="shared" si="18"/>
        <v>0</v>
      </c>
      <c r="J169" s="194"/>
      <c r="K169" s="193">
        <f t="shared" si="19"/>
        <v>0</v>
      </c>
      <c r="L169" s="192"/>
      <c r="M169" s="193">
        <f t="shared" si="20"/>
        <v>0</v>
      </c>
      <c r="N169" s="191"/>
      <c r="O169" s="193">
        <f t="shared" si="21"/>
        <v>0</v>
      </c>
      <c r="P169" s="195"/>
      <c r="Q169" s="193">
        <f t="shared" si="22"/>
        <v>0</v>
      </c>
      <c r="R169" s="191"/>
      <c r="S169" s="193">
        <f t="shared" si="23"/>
        <v>0</v>
      </c>
      <c r="T169" s="191"/>
      <c r="U169" s="193">
        <f t="shared" si="24"/>
        <v>0</v>
      </c>
      <c r="V169" s="191"/>
      <c r="W169" s="193">
        <f t="shared" si="25"/>
        <v>0</v>
      </c>
      <c r="X169" s="191"/>
      <c r="Y169" s="193">
        <f t="shared" si="26"/>
        <v>0</v>
      </c>
      <c r="Z169" s="191"/>
      <c r="AA169" s="193">
        <f t="shared" si="27"/>
        <v>0</v>
      </c>
      <c r="AB169" s="93"/>
      <c r="AC169" s="248" t="s">
        <v>783</v>
      </c>
      <c r="AD169" s="248" t="s">
        <v>313</v>
      </c>
      <c r="AE169" s="248">
        <v>108</v>
      </c>
      <c r="AF169" s="251">
        <v>12</v>
      </c>
      <c r="AG169" s="93"/>
      <c r="AH169" s="248" t="s">
        <v>758</v>
      </c>
      <c r="AI169" s="248" t="s">
        <v>759</v>
      </c>
      <c r="AJ169" s="250">
        <v>36</v>
      </c>
      <c r="AK169" s="251">
        <v>8</v>
      </c>
    </row>
    <row r="170" spans="1:37" ht="17.399999999999999" x14ac:dyDescent="0.35">
      <c r="A170" s="536"/>
      <c r="B170" s="160">
        <v>110060</v>
      </c>
      <c r="C170" s="190" t="s">
        <v>291</v>
      </c>
      <c r="D170" s="203">
        <v>30765.64</v>
      </c>
      <c r="E170" s="205">
        <f t="shared" si="16"/>
        <v>512.76066666666668</v>
      </c>
      <c r="F170" s="300">
        <v>51495.199999999997</v>
      </c>
      <c r="G170" s="205">
        <f t="shared" si="28"/>
        <v>858.25333333333333</v>
      </c>
      <c r="H170" s="179"/>
      <c r="I170" s="193">
        <f t="shared" si="18"/>
        <v>0</v>
      </c>
      <c r="J170" s="179"/>
      <c r="K170" s="193">
        <f t="shared" si="19"/>
        <v>0</v>
      </c>
      <c r="L170" s="179"/>
      <c r="M170" s="193">
        <f t="shared" si="20"/>
        <v>0</v>
      </c>
      <c r="N170" s="179"/>
      <c r="O170" s="193">
        <f t="shared" si="21"/>
        <v>0</v>
      </c>
      <c r="P170" s="187"/>
      <c r="Q170" s="193">
        <f t="shared" si="22"/>
        <v>0</v>
      </c>
      <c r="R170" s="255"/>
      <c r="S170" s="193">
        <f t="shared" si="23"/>
        <v>0</v>
      </c>
      <c r="T170" s="259"/>
      <c r="U170" s="193">
        <f t="shared" si="24"/>
        <v>0</v>
      </c>
      <c r="V170" s="255"/>
      <c r="W170" s="193">
        <f t="shared" si="25"/>
        <v>0</v>
      </c>
      <c r="X170" s="270"/>
      <c r="Y170" s="271">
        <f t="shared" si="26"/>
        <v>0</v>
      </c>
      <c r="Z170" s="270"/>
      <c r="AA170" s="189">
        <f t="shared" si="27"/>
        <v>0</v>
      </c>
      <c r="AB170" s="93"/>
      <c r="AC170" s="248" t="s">
        <v>314</v>
      </c>
      <c r="AD170" s="248" t="s">
        <v>313</v>
      </c>
      <c r="AE170" s="248">
        <v>40</v>
      </c>
      <c r="AF170" s="251">
        <v>20</v>
      </c>
      <c r="AG170" s="93"/>
      <c r="AH170" s="248" t="s">
        <v>297</v>
      </c>
      <c r="AI170" s="248" t="s">
        <v>298</v>
      </c>
      <c r="AJ170" s="250">
        <v>593.32000000000005</v>
      </c>
      <c r="AK170" s="251">
        <v>174</v>
      </c>
    </row>
    <row r="171" spans="1:37" ht="18" thickBot="1" x14ac:dyDescent="0.4">
      <c r="A171" s="536"/>
      <c r="B171" s="161">
        <v>110111</v>
      </c>
      <c r="C171" s="196" t="s">
        <v>292</v>
      </c>
      <c r="D171" s="203">
        <v>70826</v>
      </c>
      <c r="E171" s="205">
        <f t="shared" si="16"/>
        <v>1180.4333333333334</v>
      </c>
      <c r="F171" s="298">
        <v>74846</v>
      </c>
      <c r="G171" s="205">
        <f t="shared" si="28"/>
        <v>1247.4333333333334</v>
      </c>
      <c r="H171" s="197"/>
      <c r="I171" s="198">
        <f t="shared" si="18"/>
        <v>0</v>
      </c>
      <c r="J171" s="197"/>
      <c r="K171" s="198">
        <f t="shared" si="19"/>
        <v>0</v>
      </c>
      <c r="L171" s="197"/>
      <c r="M171" s="198">
        <f t="shared" si="20"/>
        <v>0</v>
      </c>
      <c r="N171" s="197"/>
      <c r="O171" s="198">
        <f t="shared" si="21"/>
        <v>0</v>
      </c>
      <c r="P171" s="199"/>
      <c r="Q171" s="198">
        <f t="shared" si="22"/>
        <v>0</v>
      </c>
      <c r="R171" s="200"/>
      <c r="S171" s="198">
        <f t="shared" si="23"/>
        <v>0</v>
      </c>
      <c r="T171" s="201"/>
      <c r="U171" s="198">
        <f t="shared" si="24"/>
        <v>0</v>
      </c>
      <c r="V171" s="200"/>
      <c r="W171" s="198">
        <f t="shared" si="25"/>
        <v>0</v>
      </c>
      <c r="X171" s="200"/>
      <c r="Y171" s="202">
        <f t="shared" si="26"/>
        <v>0</v>
      </c>
      <c r="Z171" s="200"/>
      <c r="AA171" s="198">
        <f t="shared" si="27"/>
        <v>0</v>
      </c>
      <c r="AB171" s="93"/>
      <c r="AC171" s="248" t="s">
        <v>371</v>
      </c>
      <c r="AD171" s="248" t="s">
        <v>313</v>
      </c>
      <c r="AE171" s="248">
        <v>325.60000000000002</v>
      </c>
      <c r="AF171" s="251">
        <v>88</v>
      </c>
      <c r="AG171" s="93"/>
      <c r="AH171" s="248" t="s">
        <v>299</v>
      </c>
      <c r="AI171" s="248" t="s">
        <v>298</v>
      </c>
      <c r="AJ171" s="250">
        <v>593.32000000000005</v>
      </c>
      <c r="AK171" s="251">
        <v>174</v>
      </c>
    </row>
    <row r="172" spans="1:37" x14ac:dyDescent="0.3">
      <c r="A172" s="536"/>
      <c r="B172" s="93"/>
      <c r="C172" s="93"/>
      <c r="D172" s="93"/>
      <c r="E172" s="93"/>
      <c r="F172" s="286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252"/>
      <c r="U172" s="93"/>
      <c r="V172" s="93"/>
      <c r="W172" s="93"/>
      <c r="X172" s="93"/>
      <c r="Y172" s="93"/>
      <c r="Z172" s="93"/>
      <c r="AA172" s="93"/>
      <c r="AB172" s="93"/>
      <c r="AC172" s="248" t="s">
        <v>784</v>
      </c>
      <c r="AD172" s="248" t="s">
        <v>313</v>
      </c>
      <c r="AE172" s="248">
        <v>52</v>
      </c>
      <c r="AF172" s="251">
        <v>8</v>
      </c>
      <c r="AG172" s="93"/>
      <c r="AH172" s="248" t="s">
        <v>760</v>
      </c>
      <c r="AI172" s="248" t="s">
        <v>301</v>
      </c>
      <c r="AJ172" s="250">
        <v>208</v>
      </c>
      <c r="AK172" s="251">
        <v>32</v>
      </c>
    </row>
    <row r="173" spans="1:37" x14ac:dyDescent="0.3">
      <c r="A173" s="536"/>
      <c r="B173" s="93"/>
      <c r="C173" s="93"/>
      <c r="D173" s="93"/>
      <c r="E173" s="93"/>
      <c r="F173" s="286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252"/>
      <c r="U173" s="93"/>
      <c r="V173" s="93"/>
      <c r="W173" s="93"/>
      <c r="X173" s="93"/>
      <c r="Y173" s="93"/>
      <c r="Z173" s="93"/>
      <c r="AA173" s="93"/>
      <c r="AB173" s="93"/>
      <c r="AC173" s="248" t="s">
        <v>785</v>
      </c>
      <c r="AD173" s="248" t="s">
        <v>313</v>
      </c>
      <c r="AE173" s="248">
        <v>59</v>
      </c>
      <c r="AF173" s="251">
        <v>16</v>
      </c>
      <c r="AG173" s="93"/>
      <c r="AH173" s="248" t="s">
        <v>761</v>
      </c>
      <c r="AI173" s="248" t="s">
        <v>301</v>
      </c>
      <c r="AJ173" s="250">
        <v>172.8</v>
      </c>
      <c r="AK173" s="251">
        <v>32</v>
      </c>
    </row>
    <row r="174" spans="1:37" x14ac:dyDescent="0.3">
      <c r="A174" s="536"/>
      <c r="B174" s="93"/>
      <c r="C174" s="93"/>
      <c r="D174" s="93"/>
      <c r="E174" s="93"/>
      <c r="F174" s="286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252"/>
      <c r="U174" s="93"/>
      <c r="V174" s="93"/>
      <c r="W174" s="93"/>
      <c r="X174" s="93"/>
      <c r="Y174" s="93"/>
      <c r="Z174" s="93"/>
      <c r="AA174" s="93"/>
      <c r="AB174" s="93"/>
      <c r="AC174" s="248" t="s">
        <v>786</v>
      </c>
      <c r="AD174" s="248" t="s">
        <v>313</v>
      </c>
      <c r="AE174" s="248">
        <v>69.3</v>
      </c>
      <c r="AF174" s="251">
        <v>21</v>
      </c>
      <c r="AG174" s="93"/>
      <c r="AH174" s="248" t="s">
        <v>308</v>
      </c>
      <c r="AI174" s="248" t="s">
        <v>301</v>
      </c>
      <c r="AJ174" s="250">
        <v>1984.5</v>
      </c>
      <c r="AK174" s="251">
        <v>27</v>
      </c>
    </row>
    <row r="175" spans="1:37" x14ac:dyDescent="0.3">
      <c r="A175" s="536"/>
      <c r="B175" s="93"/>
      <c r="C175" s="93"/>
      <c r="D175" s="93"/>
      <c r="E175" s="93"/>
      <c r="F175" s="286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252"/>
      <c r="U175" s="93"/>
      <c r="V175" s="93"/>
      <c r="W175" s="93"/>
      <c r="X175" s="93"/>
      <c r="Y175" s="93"/>
      <c r="Z175" s="93"/>
      <c r="AA175" s="93"/>
      <c r="AB175" s="93"/>
      <c r="AC175" s="248" t="s">
        <v>176</v>
      </c>
      <c r="AD175" s="248" t="s">
        <v>313</v>
      </c>
      <c r="AE175" s="248">
        <v>36.5</v>
      </c>
      <c r="AF175" s="251">
        <v>5</v>
      </c>
      <c r="AG175" s="93"/>
      <c r="AH175" s="248" t="s">
        <v>300</v>
      </c>
      <c r="AI175" s="248" t="s">
        <v>301</v>
      </c>
      <c r="AJ175" s="250">
        <v>722</v>
      </c>
      <c r="AK175" s="251">
        <v>4</v>
      </c>
    </row>
    <row r="176" spans="1:37" x14ac:dyDescent="0.3">
      <c r="A176" s="536"/>
      <c r="B176" s="93"/>
      <c r="C176" s="93"/>
      <c r="D176" s="93"/>
      <c r="E176" s="93"/>
      <c r="F176" s="286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252"/>
      <c r="U176" s="93"/>
      <c r="V176" s="93"/>
      <c r="W176" s="93"/>
      <c r="X176" s="93"/>
      <c r="Y176" s="93"/>
      <c r="Z176" s="93"/>
      <c r="AA176" s="93"/>
      <c r="AB176" s="93"/>
      <c r="AC176" s="248" t="s">
        <v>787</v>
      </c>
      <c r="AD176" s="248" t="s">
        <v>313</v>
      </c>
      <c r="AE176" s="248">
        <v>39.9</v>
      </c>
      <c r="AF176" s="251">
        <v>8</v>
      </c>
      <c r="AG176" s="93"/>
      <c r="AH176" s="248" t="s">
        <v>762</v>
      </c>
      <c r="AI176" s="248" t="s">
        <v>301</v>
      </c>
      <c r="AJ176" s="250">
        <v>408</v>
      </c>
      <c r="AK176" s="251">
        <v>16</v>
      </c>
    </row>
    <row r="177" spans="1:37" x14ac:dyDescent="0.3">
      <c r="A177" s="536"/>
      <c r="B177" s="93"/>
      <c r="C177" s="93"/>
      <c r="D177" s="93"/>
      <c r="E177" s="93"/>
      <c r="F177" s="286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252"/>
      <c r="U177" s="93"/>
      <c r="V177" s="93"/>
      <c r="W177" s="93"/>
      <c r="X177" s="93"/>
      <c r="Y177" s="93"/>
      <c r="Z177" s="93"/>
      <c r="AA177" s="93"/>
      <c r="AB177" s="93"/>
      <c r="AC177" s="248" t="s">
        <v>788</v>
      </c>
      <c r="AD177" s="248" t="s">
        <v>313</v>
      </c>
      <c r="AE177" s="248">
        <v>46.2</v>
      </c>
      <c r="AF177" s="251">
        <v>12</v>
      </c>
      <c r="AG177" s="93"/>
      <c r="AH177" s="248" t="s">
        <v>763</v>
      </c>
      <c r="AI177" s="248" t="s">
        <v>399</v>
      </c>
      <c r="AJ177" s="250">
        <v>390</v>
      </c>
      <c r="AK177" s="251">
        <v>30</v>
      </c>
    </row>
    <row r="178" spans="1:37" x14ac:dyDescent="0.3">
      <c r="A178" s="536"/>
      <c r="B178" s="93"/>
      <c r="C178" s="93"/>
      <c r="D178" s="93"/>
      <c r="E178" s="93"/>
      <c r="F178" s="286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248" t="s">
        <v>789</v>
      </c>
      <c r="AD178" s="248" t="s">
        <v>790</v>
      </c>
      <c r="AE178" s="248">
        <v>80</v>
      </c>
      <c r="AF178" s="251">
        <v>8</v>
      </c>
      <c r="AG178" s="93"/>
      <c r="AH178" s="248" t="s">
        <v>216</v>
      </c>
      <c r="AI178" s="248" t="s">
        <v>399</v>
      </c>
      <c r="AJ178" s="250">
        <v>347.2</v>
      </c>
      <c r="AK178" s="251">
        <v>56</v>
      </c>
    </row>
    <row r="179" spans="1:37" x14ac:dyDescent="0.3">
      <c r="A179" s="536"/>
      <c r="B179" s="93"/>
      <c r="C179" s="93"/>
      <c r="D179" s="93"/>
      <c r="E179" s="93"/>
      <c r="F179" s="286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252"/>
      <c r="U179" s="93"/>
      <c r="V179" s="93"/>
      <c r="W179" s="93"/>
      <c r="X179" s="93"/>
      <c r="Y179" s="93"/>
      <c r="Z179" s="93"/>
      <c r="AA179" s="93"/>
      <c r="AB179" s="93"/>
      <c r="AC179" s="248" t="s">
        <v>504</v>
      </c>
      <c r="AD179" s="248" t="s">
        <v>315</v>
      </c>
      <c r="AE179" s="248">
        <v>319</v>
      </c>
      <c r="AF179" s="251">
        <v>58</v>
      </c>
      <c r="AG179" s="93"/>
      <c r="AH179" s="248" t="s">
        <v>215</v>
      </c>
      <c r="AI179" s="248" t="s">
        <v>399</v>
      </c>
      <c r="AJ179" s="250">
        <v>165.6</v>
      </c>
      <c r="AK179" s="251">
        <v>12</v>
      </c>
    </row>
    <row r="180" spans="1:37" x14ac:dyDescent="0.3">
      <c r="A180" s="536"/>
      <c r="B180" s="93"/>
      <c r="C180" s="93"/>
      <c r="D180" s="93"/>
      <c r="E180" s="93"/>
      <c r="F180" s="286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248" t="s">
        <v>410</v>
      </c>
      <c r="AD180" s="248" t="s">
        <v>411</v>
      </c>
      <c r="AE180" s="248">
        <v>64</v>
      </c>
      <c r="AF180" s="251">
        <v>16</v>
      </c>
      <c r="AG180" s="93"/>
      <c r="AH180" s="248" t="s">
        <v>764</v>
      </c>
      <c r="AI180" s="248" t="s">
        <v>303</v>
      </c>
      <c r="AJ180" s="250">
        <v>360</v>
      </c>
      <c r="AK180" s="251">
        <v>30</v>
      </c>
    </row>
    <row r="181" spans="1:37" x14ac:dyDescent="0.3">
      <c r="A181" s="536"/>
      <c r="B181" s="93"/>
      <c r="C181" s="93"/>
      <c r="D181" s="93"/>
      <c r="E181" s="93"/>
      <c r="F181" s="286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248" t="s">
        <v>791</v>
      </c>
      <c r="AD181" s="248" t="s">
        <v>792</v>
      </c>
      <c r="AE181" s="248">
        <v>18</v>
      </c>
      <c r="AF181" s="251">
        <v>10</v>
      </c>
      <c r="AG181" s="93"/>
      <c r="AH181" s="248" t="s">
        <v>302</v>
      </c>
      <c r="AI181" s="248" t="s">
        <v>303</v>
      </c>
      <c r="AJ181" s="250">
        <v>467.4</v>
      </c>
      <c r="AK181" s="251">
        <v>57</v>
      </c>
    </row>
    <row r="182" spans="1:37" x14ac:dyDescent="0.3">
      <c r="A182" s="536"/>
      <c r="B182" s="93"/>
      <c r="C182" s="93"/>
      <c r="D182" s="93"/>
      <c r="E182" s="93"/>
      <c r="F182" s="286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252"/>
      <c r="U182" s="93"/>
      <c r="V182" s="93"/>
      <c r="W182" s="93"/>
      <c r="X182" s="93"/>
      <c r="Y182" s="93"/>
      <c r="Z182" s="93"/>
      <c r="AA182" s="93"/>
      <c r="AB182" s="93"/>
      <c r="AC182" s="248" t="s">
        <v>793</v>
      </c>
      <c r="AD182" s="248" t="s">
        <v>794</v>
      </c>
      <c r="AE182" s="248">
        <v>18</v>
      </c>
      <c r="AF182" s="251">
        <v>10</v>
      </c>
      <c r="AG182" s="93"/>
      <c r="AH182" s="248" t="s">
        <v>304</v>
      </c>
      <c r="AI182" s="248" t="s">
        <v>303</v>
      </c>
      <c r="AJ182" s="250">
        <v>195.6</v>
      </c>
      <c r="AK182" s="251">
        <v>12</v>
      </c>
    </row>
    <row r="183" spans="1:37" x14ac:dyDescent="0.3">
      <c r="A183" s="536"/>
      <c r="B183" s="93"/>
      <c r="C183" s="93"/>
      <c r="D183" s="93"/>
      <c r="E183" s="93"/>
      <c r="F183" s="286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252"/>
      <c r="U183" s="93"/>
      <c r="V183" s="93"/>
      <c r="W183" s="93"/>
      <c r="X183" s="93"/>
      <c r="Y183" s="93"/>
      <c r="Z183" s="93"/>
      <c r="AA183" s="93"/>
      <c r="AB183" s="93"/>
      <c r="AC183" s="248" t="s">
        <v>795</v>
      </c>
      <c r="AD183" s="248" t="s">
        <v>796</v>
      </c>
      <c r="AE183" s="249">
        <v>1744</v>
      </c>
      <c r="AF183" s="248">
        <v>8</v>
      </c>
      <c r="AG183" s="93"/>
      <c r="AH183" s="248" t="s">
        <v>364</v>
      </c>
      <c r="AI183" s="248" t="s">
        <v>365</v>
      </c>
      <c r="AJ183" s="250">
        <v>961.63</v>
      </c>
      <c r="AK183" s="251">
        <v>113</v>
      </c>
    </row>
    <row r="184" spans="1:37" x14ac:dyDescent="0.3">
      <c r="A184" s="536"/>
      <c r="B184" s="93"/>
      <c r="C184" s="93"/>
      <c r="D184" s="93"/>
      <c r="E184" s="93"/>
      <c r="F184" s="286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252"/>
      <c r="U184" s="93"/>
      <c r="V184" s="93"/>
      <c r="W184" s="93"/>
      <c r="X184" s="93"/>
      <c r="Y184" s="93"/>
      <c r="Z184" s="93"/>
      <c r="AA184" s="93"/>
      <c r="AB184" s="93"/>
      <c r="AC184" s="248" t="s">
        <v>797</v>
      </c>
      <c r="AD184" s="248" t="s">
        <v>798</v>
      </c>
      <c r="AE184" s="248">
        <v>17.399999999999999</v>
      </c>
      <c r="AF184" s="248">
        <v>6</v>
      </c>
      <c r="AG184" s="93"/>
      <c r="AH184" s="248" t="s">
        <v>765</v>
      </c>
      <c r="AI184" s="248" t="s">
        <v>766</v>
      </c>
      <c r="AJ184" s="250">
        <v>95.4</v>
      </c>
      <c r="AK184" s="251">
        <v>18</v>
      </c>
    </row>
    <row r="185" spans="1:37" x14ac:dyDescent="0.3">
      <c r="A185" s="536"/>
      <c r="B185" s="93"/>
      <c r="C185" s="93"/>
      <c r="D185" s="93"/>
      <c r="E185" s="93"/>
      <c r="F185" s="286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252"/>
      <c r="U185" s="93"/>
      <c r="V185" s="93"/>
      <c r="W185" s="93"/>
      <c r="X185" s="93"/>
      <c r="Y185" s="93"/>
      <c r="Z185" s="93"/>
      <c r="AA185" s="93"/>
      <c r="AB185" s="93"/>
      <c r="AC185" s="248" t="s">
        <v>412</v>
      </c>
      <c r="AD185" s="248" t="s">
        <v>413</v>
      </c>
      <c r="AE185" s="248">
        <v>183</v>
      </c>
      <c r="AF185" s="248">
        <v>15</v>
      </c>
      <c r="AG185" s="93"/>
      <c r="AH185" s="248" t="s">
        <v>767</v>
      </c>
      <c r="AI185" s="248" t="s">
        <v>403</v>
      </c>
      <c r="AJ185" s="250">
        <v>18.399999999999999</v>
      </c>
      <c r="AK185" s="251">
        <v>8</v>
      </c>
    </row>
    <row r="186" spans="1:37" x14ac:dyDescent="0.3">
      <c r="A186" s="536"/>
      <c r="B186" s="93"/>
      <c r="C186" s="93"/>
      <c r="D186" s="93"/>
      <c r="E186" s="93"/>
      <c r="F186" s="286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252"/>
      <c r="U186" s="93"/>
      <c r="V186" s="93"/>
      <c r="W186" s="93"/>
      <c r="X186" s="93"/>
      <c r="Y186" s="93"/>
      <c r="Z186" s="93"/>
      <c r="AA186" s="93"/>
      <c r="AB186" s="93"/>
      <c r="AC186" s="248" t="s">
        <v>443</v>
      </c>
      <c r="AD186" s="248" t="s">
        <v>444</v>
      </c>
      <c r="AE186" s="248">
        <v>285</v>
      </c>
      <c r="AF186" s="248">
        <v>30</v>
      </c>
      <c r="AG186" s="93"/>
      <c r="AH186" s="248" t="s">
        <v>521</v>
      </c>
      <c r="AI186" s="248" t="s">
        <v>403</v>
      </c>
      <c r="AJ186" s="250">
        <v>32</v>
      </c>
      <c r="AK186" s="251">
        <v>4</v>
      </c>
    </row>
    <row r="187" spans="1:37" x14ac:dyDescent="0.3">
      <c r="A187" s="536"/>
      <c r="B187" s="93"/>
      <c r="C187" s="93"/>
      <c r="D187" s="93"/>
      <c r="E187" s="93"/>
      <c r="F187" s="286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252"/>
      <c r="U187" s="93"/>
      <c r="V187" s="93"/>
      <c r="W187" s="93"/>
      <c r="X187" s="93"/>
      <c r="Y187" s="93"/>
      <c r="Z187" s="93"/>
      <c r="AA187" s="93"/>
      <c r="AB187" s="93"/>
      <c r="AC187" s="248" t="s">
        <v>507</v>
      </c>
      <c r="AD187" s="248" t="s">
        <v>453</v>
      </c>
      <c r="AE187" s="249">
        <v>2472</v>
      </c>
      <c r="AF187" s="248">
        <v>103</v>
      </c>
      <c r="AG187" s="93"/>
      <c r="AH187" s="248" t="s">
        <v>408</v>
      </c>
      <c r="AI187" s="248" t="s">
        <v>409</v>
      </c>
      <c r="AJ187" s="250">
        <v>56</v>
      </c>
      <c r="AK187" s="251">
        <v>14</v>
      </c>
    </row>
    <row r="188" spans="1:37" x14ac:dyDescent="0.3">
      <c r="A188" s="536"/>
      <c r="B188" s="93"/>
      <c r="C188" s="93"/>
      <c r="D188" s="93"/>
      <c r="E188" s="93"/>
      <c r="F188" s="286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252"/>
      <c r="U188" s="93"/>
      <c r="V188" s="93"/>
      <c r="W188" s="93"/>
      <c r="X188" s="93"/>
      <c r="Y188" s="93"/>
      <c r="Z188" s="93"/>
      <c r="AA188" s="93"/>
      <c r="AB188" s="93"/>
      <c r="AC188" s="248">
        <v>2000311</v>
      </c>
      <c r="AD188" s="248" t="s">
        <v>311</v>
      </c>
      <c r="AE188" s="250">
        <v>0.5</v>
      </c>
      <c r="AF188" s="248">
        <v>1</v>
      </c>
      <c r="AG188" s="93"/>
      <c r="AH188" s="248" t="s">
        <v>309</v>
      </c>
      <c r="AI188" s="248" t="s">
        <v>368</v>
      </c>
      <c r="AJ188" s="250">
        <v>4653</v>
      </c>
      <c r="AK188" s="251">
        <v>55</v>
      </c>
    </row>
    <row r="189" spans="1:37" x14ac:dyDescent="0.3">
      <c r="A189" s="536"/>
      <c r="B189" s="93"/>
      <c r="C189" s="93"/>
      <c r="D189" s="93"/>
      <c r="E189" s="93"/>
      <c r="F189" s="286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252"/>
      <c r="U189" s="93"/>
      <c r="V189" s="93"/>
      <c r="W189" s="93"/>
      <c r="X189" s="93"/>
      <c r="Y189" s="93"/>
      <c r="Z189" s="93"/>
      <c r="AA189" s="93"/>
      <c r="AB189" s="93"/>
      <c r="AC189" s="248" t="s">
        <v>772</v>
      </c>
      <c r="AD189" s="248" t="s">
        <v>311</v>
      </c>
      <c r="AE189" s="250">
        <v>10.5</v>
      </c>
      <c r="AF189" s="248">
        <v>1</v>
      </c>
      <c r="AG189" s="93"/>
      <c r="AH189" s="248" t="s">
        <v>306</v>
      </c>
      <c r="AI189" s="248" t="s">
        <v>307</v>
      </c>
      <c r="AJ189" s="250">
        <v>3544.84</v>
      </c>
      <c r="AK189" s="251">
        <v>34</v>
      </c>
    </row>
    <row r="190" spans="1:37" x14ac:dyDescent="0.3">
      <c r="A190" s="536"/>
      <c r="B190" s="93"/>
      <c r="C190" s="93"/>
      <c r="D190" s="93"/>
      <c r="E190" s="93"/>
      <c r="F190" s="286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252"/>
      <c r="U190" s="93"/>
      <c r="V190" s="93"/>
      <c r="W190" s="93"/>
      <c r="X190" s="93"/>
      <c r="Y190" s="93"/>
      <c r="Z190" s="93"/>
      <c r="AA190" s="93"/>
      <c r="AB190" s="93"/>
      <c r="AC190" s="248" t="s">
        <v>773</v>
      </c>
      <c r="AD190" s="248" t="s">
        <v>311</v>
      </c>
      <c r="AE190" s="250">
        <v>52.2</v>
      </c>
      <c r="AF190" s="248">
        <v>261</v>
      </c>
      <c r="AG190" s="93"/>
      <c r="AH190" s="248" t="s">
        <v>768</v>
      </c>
      <c r="AI190" s="248" t="s">
        <v>769</v>
      </c>
      <c r="AJ190" s="250">
        <v>3596</v>
      </c>
      <c r="AK190" s="251">
        <v>29</v>
      </c>
    </row>
    <row r="191" spans="1:37" x14ac:dyDescent="0.3">
      <c r="A191" s="536"/>
      <c r="B191" s="93"/>
      <c r="C191" s="93"/>
      <c r="D191" s="93"/>
      <c r="E191" s="93"/>
      <c r="F191" s="286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252"/>
      <c r="U191" s="93"/>
      <c r="V191" s="93"/>
      <c r="W191" s="93"/>
      <c r="X191" s="93"/>
      <c r="Y191" s="93"/>
      <c r="Z191" s="93"/>
      <c r="AA191" s="93"/>
      <c r="AB191" s="93"/>
      <c r="AC191" s="248" t="s">
        <v>310</v>
      </c>
      <c r="AD191" s="248" t="s">
        <v>311</v>
      </c>
      <c r="AE191" s="250">
        <v>182</v>
      </c>
      <c r="AF191" s="248">
        <v>91</v>
      </c>
      <c r="AG191" s="93"/>
      <c r="AH191" s="248" t="s">
        <v>770</v>
      </c>
      <c r="AI191" s="248" t="s">
        <v>771</v>
      </c>
      <c r="AJ191" s="250">
        <v>700</v>
      </c>
      <c r="AK191" s="251">
        <v>30</v>
      </c>
    </row>
    <row r="192" spans="1:37" x14ac:dyDescent="0.3">
      <c r="A192" s="536"/>
      <c r="B192" s="93"/>
      <c r="C192" s="93"/>
      <c r="D192" s="93"/>
      <c r="E192" s="93"/>
      <c r="F192" s="286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248" t="s">
        <v>774</v>
      </c>
      <c r="AD192" s="248" t="s">
        <v>311</v>
      </c>
      <c r="AE192" s="250">
        <v>128</v>
      </c>
      <c r="AF192" s="248">
        <v>32</v>
      </c>
      <c r="AG192" s="93"/>
      <c r="AH192" s="93"/>
      <c r="AI192" s="93"/>
      <c r="AJ192" s="93"/>
      <c r="AK192" s="272"/>
    </row>
    <row r="193" spans="1:37" x14ac:dyDescent="0.3">
      <c r="A193" s="536"/>
      <c r="B193" s="93"/>
      <c r="C193" s="93"/>
      <c r="D193" s="93"/>
      <c r="E193" s="93"/>
      <c r="F193" s="286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248" t="s">
        <v>775</v>
      </c>
      <c r="AD193" s="248" t="s">
        <v>311</v>
      </c>
      <c r="AE193" s="250">
        <v>64</v>
      </c>
      <c r="AF193" s="248">
        <v>8</v>
      </c>
      <c r="AG193" s="93"/>
      <c r="AH193" s="93"/>
      <c r="AI193" s="93"/>
      <c r="AJ193" s="93"/>
      <c r="AK193" s="272"/>
    </row>
    <row r="194" spans="1:37" x14ac:dyDescent="0.3">
      <c r="A194" s="536"/>
      <c r="B194" s="93"/>
      <c r="C194" s="93"/>
      <c r="D194" s="93"/>
      <c r="E194" s="93"/>
      <c r="F194" s="286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272"/>
    </row>
    <row r="195" spans="1:37" ht="18" thickBot="1" x14ac:dyDescent="0.4">
      <c r="A195" s="537"/>
      <c r="B195" s="96"/>
      <c r="C195" s="96"/>
      <c r="D195" s="96"/>
      <c r="E195" s="96"/>
      <c r="F195" s="295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3"/>
      <c r="W195" s="93"/>
      <c r="X195" s="93"/>
      <c r="Y195" s="93"/>
      <c r="Z195" s="96"/>
      <c r="AA195" s="96"/>
      <c r="AB195" s="96"/>
      <c r="AC195" s="93"/>
      <c r="AD195" s="93"/>
      <c r="AE195" s="93"/>
      <c r="AF195" s="93"/>
      <c r="AG195" s="96"/>
      <c r="AH195" s="96"/>
      <c r="AI195" s="96"/>
      <c r="AJ195" s="96"/>
      <c r="AK195" s="283">
        <f>SUM(AJ100:AJ191,AE100:AE193)</f>
        <v>72295.34</v>
      </c>
    </row>
    <row r="196" spans="1:37" ht="23.4" x14ac:dyDescent="0.3">
      <c r="A196" s="510" t="s">
        <v>799</v>
      </c>
      <c r="B196" s="528" t="s">
        <v>156</v>
      </c>
      <c r="C196" s="528"/>
      <c r="D196" s="528"/>
      <c r="E196" s="529"/>
      <c r="F196" s="285"/>
      <c r="G196" s="530" t="s">
        <v>157</v>
      </c>
      <c r="H196" s="528"/>
      <c r="I196" s="528"/>
      <c r="J196" s="529"/>
      <c r="K196" s="246"/>
      <c r="L196" s="531" t="s">
        <v>158</v>
      </c>
      <c r="M196" s="531"/>
      <c r="N196" s="531"/>
      <c r="O196" s="531"/>
      <c r="P196" s="247"/>
      <c r="Q196" s="531" t="s">
        <v>159</v>
      </c>
      <c r="R196" s="531"/>
      <c r="S196" s="531"/>
      <c r="T196" s="531"/>
      <c r="U196" s="246"/>
      <c r="V196" s="532" t="s">
        <v>160</v>
      </c>
      <c r="W196" s="532"/>
      <c r="X196" s="532"/>
      <c r="Y196" s="532"/>
      <c r="Z196" s="246"/>
      <c r="AA196" s="246"/>
      <c r="AB196" s="246"/>
      <c r="AC196" s="532" t="s">
        <v>161</v>
      </c>
      <c r="AD196" s="532"/>
      <c r="AE196" s="532"/>
      <c r="AF196" s="532"/>
      <c r="AG196" s="246"/>
      <c r="AH196" s="246"/>
      <c r="AI196" s="246"/>
      <c r="AJ196" s="246"/>
      <c r="AK196" s="90"/>
    </row>
    <row r="197" spans="1:37" x14ac:dyDescent="0.3">
      <c r="A197" s="511"/>
      <c r="B197" s="91" t="s">
        <v>179</v>
      </c>
      <c r="C197" s="248" t="s">
        <v>162</v>
      </c>
      <c r="D197" s="250">
        <v>45124</v>
      </c>
      <c r="E197" s="248">
        <v>29</v>
      </c>
      <c r="F197" s="286"/>
      <c r="G197" s="248" t="s">
        <v>163</v>
      </c>
      <c r="H197" s="248" t="s">
        <v>181</v>
      </c>
      <c r="I197" s="250">
        <v>63960</v>
      </c>
      <c r="J197" s="248">
        <v>40</v>
      </c>
      <c r="K197" s="93"/>
      <c r="L197" s="303" t="s">
        <v>634</v>
      </c>
      <c r="M197" s="303" t="s">
        <v>158</v>
      </c>
      <c r="N197" s="304">
        <v>6240</v>
      </c>
      <c r="O197" s="303">
        <v>1</v>
      </c>
      <c r="P197" s="93"/>
      <c r="Q197" s="303" t="s">
        <v>201</v>
      </c>
      <c r="R197" s="303" t="s">
        <v>202</v>
      </c>
      <c r="S197" s="303">
        <v>678.9</v>
      </c>
      <c r="T197" s="303">
        <v>1</v>
      </c>
      <c r="U197" s="93"/>
      <c r="V197" s="303" t="s">
        <v>653</v>
      </c>
      <c r="W197" s="303" t="s">
        <v>654</v>
      </c>
      <c r="X197" s="304">
        <v>1005</v>
      </c>
      <c r="Y197" s="303">
        <v>67</v>
      </c>
      <c r="Z197" s="93"/>
      <c r="AA197" s="93"/>
      <c r="AB197" s="93"/>
      <c r="AC197" s="248" t="s">
        <v>853</v>
      </c>
      <c r="AD197" s="248" t="s">
        <v>560</v>
      </c>
      <c r="AE197" s="248">
        <v>14</v>
      </c>
      <c r="AF197" s="250">
        <v>112</v>
      </c>
      <c r="AG197" s="93"/>
      <c r="AH197" s="248" t="s">
        <v>840</v>
      </c>
      <c r="AI197" s="248" t="s">
        <v>841</v>
      </c>
      <c r="AJ197" s="250">
        <v>4</v>
      </c>
      <c r="AK197" s="248">
        <v>15</v>
      </c>
    </row>
    <row r="198" spans="1:37" x14ac:dyDescent="0.3">
      <c r="A198" s="511"/>
      <c r="B198" s="209" t="s">
        <v>454</v>
      </c>
      <c r="C198" s="248" t="s">
        <v>455</v>
      </c>
      <c r="D198" s="250">
        <v>56168</v>
      </c>
      <c r="E198" s="248">
        <v>17</v>
      </c>
      <c r="F198" s="286"/>
      <c r="G198" s="248" t="s">
        <v>195</v>
      </c>
      <c r="H198" s="248" t="s">
        <v>181</v>
      </c>
      <c r="I198" s="250">
        <v>50420</v>
      </c>
      <c r="J198" s="248">
        <v>20</v>
      </c>
      <c r="K198" s="93"/>
      <c r="L198" s="303" t="s">
        <v>182</v>
      </c>
      <c r="M198" s="303" t="s">
        <v>165</v>
      </c>
      <c r="N198" s="304">
        <v>11512</v>
      </c>
      <c r="O198" s="303">
        <v>18</v>
      </c>
      <c r="P198" s="93"/>
      <c r="Q198" s="303" t="s">
        <v>196</v>
      </c>
      <c r="R198" s="303" t="s">
        <v>197</v>
      </c>
      <c r="S198" s="303">
        <v>777.2</v>
      </c>
      <c r="T198" s="303">
        <v>1</v>
      </c>
      <c r="U198" s="93"/>
      <c r="V198" s="303" t="s">
        <v>802</v>
      </c>
      <c r="W198" s="303" t="s">
        <v>824</v>
      </c>
      <c r="X198" s="304">
        <v>17010</v>
      </c>
      <c r="Y198" s="303">
        <v>21</v>
      </c>
      <c r="Z198" s="93"/>
      <c r="AA198" s="93"/>
      <c r="AB198" s="93"/>
      <c r="AC198" s="248" t="s">
        <v>854</v>
      </c>
      <c r="AD198" s="248" t="s">
        <v>560</v>
      </c>
      <c r="AE198" s="248">
        <v>14</v>
      </c>
      <c r="AF198" s="250">
        <v>112</v>
      </c>
      <c r="AG198" s="93"/>
      <c r="AH198" s="248" t="s">
        <v>842</v>
      </c>
      <c r="AI198" s="248" t="s">
        <v>672</v>
      </c>
      <c r="AJ198" s="250">
        <v>15</v>
      </c>
      <c r="AK198" s="248">
        <v>120</v>
      </c>
    </row>
    <row r="199" spans="1:37" x14ac:dyDescent="0.3">
      <c r="A199" s="511"/>
      <c r="B199" s="91" t="s">
        <v>482</v>
      </c>
      <c r="C199" s="248" t="s">
        <v>170</v>
      </c>
      <c r="D199" s="250">
        <v>65200</v>
      </c>
      <c r="E199" s="248">
        <v>16</v>
      </c>
      <c r="F199" s="286"/>
      <c r="G199" s="248" t="s">
        <v>177</v>
      </c>
      <c r="H199" s="248" t="s">
        <v>181</v>
      </c>
      <c r="I199" s="250">
        <v>35388</v>
      </c>
      <c r="J199" s="248">
        <v>18</v>
      </c>
      <c r="K199" s="93"/>
      <c r="L199" s="303" t="s">
        <v>808</v>
      </c>
      <c r="M199" s="303" t="s">
        <v>165</v>
      </c>
      <c r="N199" s="304">
        <v>3199</v>
      </c>
      <c r="O199" s="303">
        <v>5</v>
      </c>
      <c r="P199" s="93"/>
      <c r="Q199" s="303" t="s">
        <v>319</v>
      </c>
      <c r="R199" s="303" t="s">
        <v>320</v>
      </c>
      <c r="S199" s="304">
        <v>16328</v>
      </c>
      <c r="T199" s="303">
        <v>13</v>
      </c>
      <c r="U199" s="93"/>
      <c r="V199" s="303" t="s">
        <v>821</v>
      </c>
      <c r="W199" s="303" t="s">
        <v>822</v>
      </c>
      <c r="X199" s="303">
        <v>76</v>
      </c>
      <c r="Y199" s="303">
        <v>8</v>
      </c>
      <c r="Z199" s="93"/>
      <c r="AA199" s="93"/>
      <c r="AB199" s="93"/>
      <c r="AC199" s="248" t="s">
        <v>615</v>
      </c>
      <c r="AD199" s="248" t="s">
        <v>380</v>
      </c>
      <c r="AE199" s="248">
        <v>30</v>
      </c>
      <c r="AF199" s="250">
        <v>1410</v>
      </c>
      <c r="AG199" s="93"/>
      <c r="AH199" s="248" t="s">
        <v>673</v>
      </c>
      <c r="AI199" s="248" t="s">
        <v>674</v>
      </c>
      <c r="AJ199" s="250">
        <v>60</v>
      </c>
      <c r="AK199" s="248">
        <v>990</v>
      </c>
    </row>
    <row r="200" spans="1:37" x14ac:dyDescent="0.3">
      <c r="A200" s="511"/>
      <c r="B200" s="91" t="s">
        <v>445</v>
      </c>
      <c r="C200" s="248" t="s">
        <v>170</v>
      </c>
      <c r="D200" s="250">
        <v>28720</v>
      </c>
      <c r="E200" s="248">
        <v>16</v>
      </c>
      <c r="F200" s="286"/>
      <c r="G200" s="248" t="s">
        <v>564</v>
      </c>
      <c r="H200" s="248" t="s">
        <v>181</v>
      </c>
      <c r="I200" s="250">
        <v>34755</v>
      </c>
      <c r="J200" s="248">
        <v>15</v>
      </c>
      <c r="K200" s="93"/>
      <c r="L200" s="303" t="s">
        <v>483</v>
      </c>
      <c r="M200" s="303" t="s">
        <v>165</v>
      </c>
      <c r="N200" s="304">
        <v>7660</v>
      </c>
      <c r="O200" s="303">
        <v>12</v>
      </c>
      <c r="P200" s="93"/>
      <c r="Q200" s="303" t="s">
        <v>811</v>
      </c>
      <c r="R200" s="303" t="s">
        <v>167</v>
      </c>
      <c r="S200" s="304">
        <v>1256</v>
      </c>
      <c r="T200" s="303">
        <v>1</v>
      </c>
      <c r="U200" s="93"/>
      <c r="V200" s="303" t="s">
        <v>819</v>
      </c>
      <c r="W200" s="303" t="s">
        <v>820</v>
      </c>
      <c r="X200" s="303">
        <v>48</v>
      </c>
      <c r="Y200" s="303">
        <v>16</v>
      </c>
      <c r="Z200" s="93"/>
      <c r="AA200" s="93"/>
      <c r="AB200" s="93"/>
      <c r="AC200" s="248" t="s">
        <v>855</v>
      </c>
      <c r="AD200" s="248" t="s">
        <v>456</v>
      </c>
      <c r="AE200" s="248">
        <v>2</v>
      </c>
      <c r="AF200" s="250">
        <v>53</v>
      </c>
      <c r="AG200" s="93"/>
      <c r="AH200" s="248" t="s">
        <v>458</v>
      </c>
      <c r="AI200" s="248" t="s">
        <v>459</v>
      </c>
      <c r="AJ200" s="250">
        <v>14</v>
      </c>
      <c r="AK200" s="248">
        <v>280</v>
      </c>
    </row>
    <row r="201" spans="1:37" x14ac:dyDescent="0.3">
      <c r="A201" s="511"/>
      <c r="B201" s="91" t="s">
        <v>191</v>
      </c>
      <c r="C201" s="248" t="s">
        <v>170</v>
      </c>
      <c r="D201" s="250">
        <v>31010</v>
      </c>
      <c r="E201" s="248">
        <v>5</v>
      </c>
      <c r="F201" s="286"/>
      <c r="G201" s="248" t="s">
        <v>325</v>
      </c>
      <c r="H201" s="248" t="s">
        <v>181</v>
      </c>
      <c r="I201" s="250">
        <v>26240</v>
      </c>
      <c r="J201" s="248">
        <v>16</v>
      </c>
      <c r="K201" s="93"/>
      <c r="L201" s="303" t="s">
        <v>164</v>
      </c>
      <c r="M201" s="303" t="s">
        <v>165</v>
      </c>
      <c r="N201" s="304">
        <v>6108</v>
      </c>
      <c r="O201" s="303">
        <v>10</v>
      </c>
      <c r="P201" s="93"/>
      <c r="Q201" s="303" t="s">
        <v>166</v>
      </c>
      <c r="R201" s="303" t="s">
        <v>167</v>
      </c>
      <c r="S201" s="304">
        <v>35928</v>
      </c>
      <c r="T201" s="303">
        <v>24</v>
      </c>
      <c r="U201" s="93"/>
      <c r="V201" s="303" t="s">
        <v>818</v>
      </c>
      <c r="W201" s="303" t="s">
        <v>205</v>
      </c>
      <c r="X201" s="303">
        <v>24</v>
      </c>
      <c r="Y201" s="303">
        <v>8</v>
      </c>
      <c r="Z201" s="93"/>
      <c r="AA201" s="93"/>
      <c r="AB201" s="93"/>
      <c r="AC201" s="248" t="s">
        <v>856</v>
      </c>
      <c r="AD201" s="248" t="s">
        <v>456</v>
      </c>
      <c r="AE201" s="248">
        <v>2</v>
      </c>
      <c r="AF201" s="250">
        <v>120</v>
      </c>
      <c r="AG201" s="93"/>
      <c r="AH201" s="248" t="s">
        <v>490</v>
      </c>
      <c r="AI201" s="248" t="s">
        <v>491</v>
      </c>
      <c r="AJ201" s="250">
        <v>14</v>
      </c>
      <c r="AK201" s="248">
        <v>63</v>
      </c>
    </row>
    <row r="202" spans="1:37" x14ac:dyDescent="0.3">
      <c r="A202" s="511"/>
      <c r="B202" s="91" t="s">
        <v>627</v>
      </c>
      <c r="C202" s="248" t="s">
        <v>170</v>
      </c>
      <c r="D202" s="250">
        <v>3633</v>
      </c>
      <c r="E202" s="248">
        <v>3</v>
      </c>
      <c r="F202" s="286"/>
      <c r="G202" s="248" t="s">
        <v>565</v>
      </c>
      <c r="H202" s="248" t="s">
        <v>181</v>
      </c>
      <c r="I202" s="250">
        <v>11585</v>
      </c>
      <c r="J202" s="248">
        <v>5</v>
      </c>
      <c r="K202" s="93"/>
      <c r="L202" s="303" t="s">
        <v>322</v>
      </c>
      <c r="M202" s="303" t="s">
        <v>165</v>
      </c>
      <c r="N202" s="304">
        <v>3462</v>
      </c>
      <c r="O202" s="303">
        <v>4</v>
      </c>
      <c r="P202" s="93"/>
      <c r="Q202" s="303" t="s">
        <v>484</v>
      </c>
      <c r="R202" s="303" t="s">
        <v>174</v>
      </c>
      <c r="S202" s="304">
        <v>13390</v>
      </c>
      <c r="T202" s="303">
        <v>13</v>
      </c>
      <c r="U202" s="93"/>
      <c r="V202" s="303" t="s">
        <v>823</v>
      </c>
      <c r="W202" s="303" t="s">
        <v>652</v>
      </c>
      <c r="X202" s="304">
        <v>23820</v>
      </c>
      <c r="Y202" s="303">
        <v>6</v>
      </c>
      <c r="Z202" s="93"/>
      <c r="AA202" s="93"/>
      <c r="AB202" s="93"/>
      <c r="AC202" s="248" t="s">
        <v>241</v>
      </c>
      <c r="AD202" s="248" t="s">
        <v>242</v>
      </c>
      <c r="AE202" s="248">
        <v>1</v>
      </c>
      <c r="AF202" s="250">
        <v>38.799999999999997</v>
      </c>
      <c r="AG202" s="93"/>
      <c r="AH202" s="248" t="s">
        <v>492</v>
      </c>
      <c r="AI202" s="248" t="s">
        <v>493</v>
      </c>
      <c r="AJ202" s="250">
        <v>14</v>
      </c>
      <c r="AK202" s="248">
        <v>32.200000000000003</v>
      </c>
    </row>
    <row r="203" spans="1:37" x14ac:dyDescent="0.3">
      <c r="A203" s="511"/>
      <c r="F203" s="311"/>
      <c r="G203" s="248" t="s">
        <v>633</v>
      </c>
      <c r="H203" s="248" t="s">
        <v>181</v>
      </c>
      <c r="I203" s="250">
        <v>10084</v>
      </c>
      <c r="J203" s="248">
        <v>4</v>
      </c>
      <c r="K203" s="93"/>
      <c r="L203" s="303" t="s">
        <v>185</v>
      </c>
      <c r="M203" s="303" t="s">
        <v>165</v>
      </c>
      <c r="N203" s="304">
        <v>14587</v>
      </c>
      <c r="O203" s="303">
        <v>17</v>
      </c>
      <c r="P203" s="93"/>
      <c r="Q203" s="303" t="s">
        <v>173</v>
      </c>
      <c r="R203" s="303" t="s">
        <v>174</v>
      </c>
      <c r="S203" s="304">
        <v>11310</v>
      </c>
      <c r="T203" s="303">
        <v>10</v>
      </c>
      <c r="U203" s="93"/>
      <c r="V203" s="303" t="s">
        <v>831</v>
      </c>
      <c r="W203" s="303" t="s">
        <v>313</v>
      </c>
      <c r="X203" s="303">
        <v>20</v>
      </c>
      <c r="Y203" s="303">
        <v>8</v>
      </c>
      <c r="Z203" s="93"/>
      <c r="AA203" s="93"/>
      <c r="AB203" s="93"/>
      <c r="AC203" s="248" t="s">
        <v>282</v>
      </c>
      <c r="AD203" s="248" t="s">
        <v>242</v>
      </c>
      <c r="AE203" s="248">
        <v>2</v>
      </c>
      <c r="AF203" s="250">
        <v>74.2</v>
      </c>
      <c r="AG203" s="93"/>
      <c r="AH203" s="248" t="s">
        <v>494</v>
      </c>
      <c r="AI203" s="248" t="s">
        <v>495</v>
      </c>
      <c r="AJ203" s="250">
        <v>14</v>
      </c>
      <c r="AK203" s="248">
        <v>32.200000000000003</v>
      </c>
    </row>
    <row r="204" spans="1:37" x14ac:dyDescent="0.3">
      <c r="A204" s="511"/>
      <c r="F204" s="311"/>
      <c r="G204" s="248" t="s">
        <v>384</v>
      </c>
      <c r="H204" s="248" t="s">
        <v>181</v>
      </c>
      <c r="I204" s="250">
        <v>7970</v>
      </c>
      <c r="J204" s="248">
        <v>2</v>
      </c>
      <c r="K204" s="93"/>
      <c r="L204" s="303" t="s">
        <v>585</v>
      </c>
      <c r="M204" s="303" t="s">
        <v>165</v>
      </c>
      <c r="N204" s="304">
        <v>1284</v>
      </c>
      <c r="O204" s="303">
        <v>2</v>
      </c>
      <c r="P204" s="93"/>
      <c r="Q204" s="303" t="s">
        <v>186</v>
      </c>
      <c r="R204" s="303" t="s">
        <v>174</v>
      </c>
      <c r="S204" s="304">
        <v>38564</v>
      </c>
      <c r="T204" s="303">
        <v>31</v>
      </c>
      <c r="U204" s="93"/>
      <c r="V204" s="303" t="s">
        <v>832</v>
      </c>
      <c r="W204" s="303" t="s">
        <v>313</v>
      </c>
      <c r="X204" s="303">
        <v>60</v>
      </c>
      <c r="Y204" s="303">
        <v>8</v>
      </c>
      <c r="Z204" s="93"/>
      <c r="AA204" s="93"/>
      <c r="AB204" s="93"/>
      <c r="AC204" s="248" t="s">
        <v>739</v>
      </c>
      <c r="AD204" s="248" t="s">
        <v>242</v>
      </c>
      <c r="AE204" s="248">
        <v>1</v>
      </c>
      <c r="AF204" s="250">
        <v>30.6</v>
      </c>
      <c r="AG204" s="93"/>
      <c r="AH204" s="248" t="s">
        <v>323</v>
      </c>
      <c r="AI204" s="248" t="s">
        <v>324</v>
      </c>
      <c r="AJ204" s="250">
        <v>22</v>
      </c>
      <c r="AK204" s="248">
        <v>100.2</v>
      </c>
    </row>
    <row r="205" spans="1:37" x14ac:dyDescent="0.3">
      <c r="A205" s="511"/>
      <c r="F205" s="286"/>
      <c r="G205" s="248" t="s">
        <v>377</v>
      </c>
      <c r="H205" s="248" t="s">
        <v>181</v>
      </c>
      <c r="I205" s="250">
        <v>6396</v>
      </c>
      <c r="J205" s="248">
        <v>4</v>
      </c>
      <c r="K205" s="93"/>
      <c r="L205" s="303" t="s">
        <v>378</v>
      </c>
      <c r="M205" s="303" t="s">
        <v>165</v>
      </c>
      <c r="N205" s="304">
        <v>4500</v>
      </c>
      <c r="O205" s="303">
        <v>1</v>
      </c>
      <c r="P205" s="93"/>
      <c r="Q205" s="303" t="s">
        <v>186</v>
      </c>
      <c r="R205" s="303" t="s">
        <v>174</v>
      </c>
      <c r="S205" s="304">
        <v>1244</v>
      </c>
      <c r="T205" s="303">
        <v>1</v>
      </c>
      <c r="U205" s="93"/>
      <c r="V205" s="303" t="s">
        <v>833</v>
      </c>
      <c r="W205" s="303" t="s">
        <v>313</v>
      </c>
      <c r="X205" s="303">
        <v>20</v>
      </c>
      <c r="Y205" s="303">
        <v>8</v>
      </c>
      <c r="Z205" s="93"/>
      <c r="AA205" s="93"/>
      <c r="AB205" s="93"/>
      <c r="AC205" s="248" t="s">
        <v>243</v>
      </c>
      <c r="AD205" s="248" t="s">
        <v>242</v>
      </c>
      <c r="AE205" s="248">
        <v>22</v>
      </c>
      <c r="AF205" s="250">
        <v>685.12</v>
      </c>
      <c r="AG205" s="93"/>
      <c r="AH205" s="248" t="s">
        <v>335</v>
      </c>
      <c r="AI205" s="248" t="s">
        <v>336</v>
      </c>
      <c r="AJ205" s="250">
        <v>4</v>
      </c>
      <c r="AK205" s="248">
        <v>34</v>
      </c>
    </row>
    <row r="206" spans="1:37" x14ac:dyDescent="0.3">
      <c r="A206" s="511"/>
      <c r="F206" s="286"/>
      <c r="G206" s="248" t="s">
        <v>629</v>
      </c>
      <c r="H206" s="248" t="s">
        <v>630</v>
      </c>
      <c r="I206" s="250">
        <v>4388</v>
      </c>
      <c r="J206" s="248">
        <v>2</v>
      </c>
      <c r="K206" s="93"/>
      <c r="L206" s="303" t="s">
        <v>635</v>
      </c>
      <c r="M206" s="303" t="s">
        <v>165</v>
      </c>
      <c r="N206" s="304">
        <v>3232</v>
      </c>
      <c r="O206" s="303">
        <v>3</v>
      </c>
      <c r="P206" s="93"/>
      <c r="Q206" s="303" t="s">
        <v>379</v>
      </c>
      <c r="R206" s="303" t="s">
        <v>174</v>
      </c>
      <c r="S206" s="304">
        <v>7800</v>
      </c>
      <c r="T206" s="303">
        <v>1</v>
      </c>
      <c r="U206" s="93"/>
      <c r="V206" s="303" t="s">
        <v>834</v>
      </c>
      <c r="W206" s="303" t="s">
        <v>313</v>
      </c>
      <c r="X206" s="303">
        <v>60</v>
      </c>
      <c r="Y206" s="303">
        <v>8</v>
      </c>
      <c r="Z206" s="93"/>
      <c r="AA206" s="93"/>
      <c r="AB206" s="93"/>
      <c r="AC206" s="248" t="s">
        <v>741</v>
      </c>
      <c r="AD206" s="248" t="s">
        <v>242</v>
      </c>
      <c r="AE206" s="248">
        <v>16</v>
      </c>
      <c r="AF206" s="250">
        <v>439.04</v>
      </c>
      <c r="AG206" s="93"/>
      <c r="AH206" s="248" t="s">
        <v>460</v>
      </c>
      <c r="AI206" s="248" t="s">
        <v>336</v>
      </c>
      <c r="AJ206" s="250">
        <v>14</v>
      </c>
      <c r="AK206" s="248">
        <v>35</v>
      </c>
    </row>
    <row r="207" spans="1:37" x14ac:dyDescent="0.3">
      <c r="A207" s="511"/>
      <c r="F207" s="286"/>
      <c r="G207" s="248" t="s">
        <v>184</v>
      </c>
      <c r="H207" s="248" t="s">
        <v>181</v>
      </c>
      <c r="I207" s="250">
        <v>4056</v>
      </c>
      <c r="J207" s="248">
        <v>6</v>
      </c>
      <c r="K207" s="93"/>
      <c r="L207" s="303" t="s">
        <v>171</v>
      </c>
      <c r="M207" s="303" t="s">
        <v>172</v>
      </c>
      <c r="N207" s="304">
        <v>16538</v>
      </c>
      <c r="O207" s="303">
        <v>27</v>
      </c>
      <c r="P207" s="93"/>
      <c r="Q207" s="303" t="s">
        <v>637</v>
      </c>
      <c r="R207" s="303" t="s">
        <v>174</v>
      </c>
      <c r="S207" s="304">
        <v>6246</v>
      </c>
      <c r="T207" s="303">
        <v>2</v>
      </c>
      <c r="U207" s="93"/>
      <c r="V207" s="303" t="s">
        <v>594</v>
      </c>
      <c r="W207" s="303" t="s">
        <v>205</v>
      </c>
      <c r="X207" s="303">
        <v>101.08</v>
      </c>
      <c r="Y207" s="303">
        <v>16</v>
      </c>
      <c r="Z207" s="93"/>
      <c r="AA207" s="93"/>
      <c r="AB207" s="93"/>
      <c r="AC207" s="248" t="s">
        <v>577</v>
      </c>
      <c r="AD207" s="248" t="s">
        <v>242</v>
      </c>
      <c r="AE207" s="248">
        <v>5</v>
      </c>
      <c r="AF207" s="250">
        <v>345.9</v>
      </c>
      <c r="AG207" s="93"/>
      <c r="AH207" s="248" t="s">
        <v>496</v>
      </c>
      <c r="AI207" s="248" t="s">
        <v>336</v>
      </c>
      <c r="AJ207" s="250">
        <v>14</v>
      </c>
      <c r="AK207" s="248">
        <v>168</v>
      </c>
    </row>
    <row r="208" spans="1:37" x14ac:dyDescent="0.3">
      <c r="A208" s="511"/>
      <c r="F208" s="286"/>
      <c r="G208" s="248" t="s">
        <v>331</v>
      </c>
      <c r="H208" s="248" t="s">
        <v>181</v>
      </c>
      <c r="I208" s="250">
        <v>3300</v>
      </c>
      <c r="J208" s="248">
        <v>5</v>
      </c>
      <c r="K208" s="93"/>
      <c r="L208" s="303" t="s">
        <v>192</v>
      </c>
      <c r="M208" s="303" t="s">
        <v>551</v>
      </c>
      <c r="N208" s="304">
        <v>19078</v>
      </c>
      <c r="O208" s="303">
        <v>19</v>
      </c>
      <c r="P208" s="93"/>
      <c r="Q208" s="303" t="s">
        <v>535</v>
      </c>
      <c r="R208" s="303" t="s">
        <v>174</v>
      </c>
      <c r="S208" s="304">
        <v>2348</v>
      </c>
      <c r="T208" s="303">
        <v>2</v>
      </c>
      <c r="U208" s="93"/>
      <c r="V208" s="303" t="s">
        <v>663</v>
      </c>
      <c r="W208" s="303" t="s">
        <v>664</v>
      </c>
      <c r="X208" s="304">
        <v>9702</v>
      </c>
      <c r="Y208" s="303">
        <v>3</v>
      </c>
      <c r="Z208" s="93"/>
      <c r="AA208" s="93"/>
      <c r="AB208" s="93"/>
      <c r="AC208" s="248" t="s">
        <v>350</v>
      </c>
      <c r="AD208" s="248" t="s">
        <v>242</v>
      </c>
      <c r="AE208" s="248">
        <v>1</v>
      </c>
      <c r="AF208" s="250">
        <v>73.180000000000007</v>
      </c>
      <c r="AG208" s="93"/>
      <c r="AH208" s="248" t="s">
        <v>497</v>
      </c>
      <c r="AI208" s="248" t="s">
        <v>336</v>
      </c>
      <c r="AJ208" s="250">
        <v>14</v>
      </c>
      <c r="AK208" s="248">
        <v>84</v>
      </c>
    </row>
    <row r="209" spans="1:37" x14ac:dyDescent="0.3">
      <c r="A209" s="511"/>
      <c r="F209" s="286"/>
      <c r="G209" s="248" t="s">
        <v>632</v>
      </c>
      <c r="H209" s="248" t="s">
        <v>181</v>
      </c>
      <c r="I209" s="250">
        <v>2521</v>
      </c>
      <c r="J209" s="248">
        <v>1</v>
      </c>
      <c r="K209" s="93"/>
      <c r="L209" s="248" t="s">
        <v>334</v>
      </c>
      <c r="M209" s="248" t="s">
        <v>170</v>
      </c>
      <c r="N209" s="250">
        <v>3178</v>
      </c>
      <c r="O209" s="248">
        <v>2</v>
      </c>
      <c r="P209" s="93"/>
      <c r="Q209" s="303" t="s">
        <v>812</v>
      </c>
      <c r="R209" s="303" t="s">
        <v>174</v>
      </c>
      <c r="S209" s="304">
        <v>8160</v>
      </c>
      <c r="T209" s="303">
        <v>2</v>
      </c>
      <c r="U209" s="93"/>
      <c r="V209" s="303" t="s">
        <v>667</v>
      </c>
      <c r="W209" s="303" t="s">
        <v>668</v>
      </c>
      <c r="X209" s="304">
        <v>13332</v>
      </c>
      <c r="Y209" s="303">
        <v>6</v>
      </c>
      <c r="Z209" s="93"/>
      <c r="AA209" s="93"/>
      <c r="AB209" s="93"/>
      <c r="AC209" s="248" t="s">
        <v>351</v>
      </c>
      <c r="AD209" s="248" t="s">
        <v>242</v>
      </c>
      <c r="AE209" s="248">
        <v>1</v>
      </c>
      <c r="AF209" s="250">
        <v>32.49</v>
      </c>
      <c r="AG209" s="93"/>
      <c r="AH209" s="248" t="s">
        <v>461</v>
      </c>
      <c r="AI209" s="248" t="s">
        <v>336</v>
      </c>
      <c r="AJ209" s="250">
        <v>19</v>
      </c>
      <c r="AK209" s="248">
        <v>256.5</v>
      </c>
    </row>
    <row r="210" spans="1:37" x14ac:dyDescent="0.3">
      <c r="A210" s="511"/>
      <c r="F210" s="286"/>
      <c r="G210" s="248" t="s">
        <v>180</v>
      </c>
      <c r="H210" s="248" t="s">
        <v>181</v>
      </c>
      <c r="I210" s="250">
        <v>1538</v>
      </c>
      <c r="J210" s="248">
        <v>2</v>
      </c>
      <c r="K210" s="93"/>
      <c r="L210" s="248" t="s">
        <v>550</v>
      </c>
      <c r="M210" s="248" t="s">
        <v>170</v>
      </c>
      <c r="N210" s="250">
        <v>14184</v>
      </c>
      <c r="O210" s="248">
        <v>2</v>
      </c>
      <c r="P210" s="93"/>
      <c r="Q210" s="303" t="s">
        <v>639</v>
      </c>
      <c r="R210" s="303" t="s">
        <v>640</v>
      </c>
      <c r="S210" s="304">
        <v>7000</v>
      </c>
      <c r="T210" s="303">
        <v>1</v>
      </c>
      <c r="U210" s="93"/>
      <c r="V210" s="303" t="s">
        <v>830</v>
      </c>
      <c r="W210" s="303" t="s">
        <v>311</v>
      </c>
      <c r="X210" s="304">
        <v>3880</v>
      </c>
      <c r="Y210" s="303">
        <v>1</v>
      </c>
      <c r="Z210" s="93"/>
      <c r="AA210" s="93"/>
      <c r="AB210" s="93"/>
      <c r="AC210" s="248" t="s">
        <v>616</v>
      </c>
      <c r="AD210" s="248" t="s">
        <v>242</v>
      </c>
      <c r="AE210" s="248">
        <v>15</v>
      </c>
      <c r="AF210" s="250">
        <v>557.29999999999995</v>
      </c>
      <c r="AG210" s="93"/>
      <c r="AH210" s="248" t="s">
        <v>462</v>
      </c>
      <c r="AI210" s="248" t="s">
        <v>336</v>
      </c>
      <c r="AJ210" s="250">
        <v>24</v>
      </c>
      <c r="AK210" s="248">
        <v>324</v>
      </c>
    </row>
    <row r="211" spans="1:37" x14ac:dyDescent="0.3">
      <c r="A211" s="511"/>
      <c r="F211" s="286"/>
      <c r="G211" s="93"/>
      <c r="H211" s="93"/>
      <c r="I211" s="208"/>
      <c r="J211" s="93">
        <f>SUM(J197:J210)</f>
        <v>140</v>
      </c>
      <c r="K211" s="93"/>
      <c r="L211" s="248" t="s">
        <v>805</v>
      </c>
      <c r="M211" s="248" t="s">
        <v>162</v>
      </c>
      <c r="N211" s="250">
        <v>1140</v>
      </c>
      <c r="O211" s="248">
        <v>1</v>
      </c>
      <c r="P211" s="93"/>
      <c r="Q211" s="303" t="s">
        <v>485</v>
      </c>
      <c r="R211" s="303" t="s">
        <v>420</v>
      </c>
      <c r="S211" s="304">
        <v>7210</v>
      </c>
      <c r="T211" s="303">
        <v>7</v>
      </c>
      <c r="U211" s="93"/>
      <c r="V211" s="303" t="s">
        <v>839</v>
      </c>
      <c r="W211" s="303" t="s">
        <v>666</v>
      </c>
      <c r="X211" s="304">
        <v>4286</v>
      </c>
      <c r="Y211" s="303">
        <v>1</v>
      </c>
      <c r="Z211" s="93"/>
      <c r="AA211" s="93"/>
      <c r="AB211" s="93"/>
      <c r="AC211" s="248" t="s">
        <v>617</v>
      </c>
      <c r="AD211" s="248" t="s">
        <v>242</v>
      </c>
      <c r="AE211" s="248">
        <v>18</v>
      </c>
      <c r="AF211" s="250">
        <v>667.76</v>
      </c>
      <c r="AG211" s="93"/>
      <c r="AH211" s="248" t="s">
        <v>542</v>
      </c>
      <c r="AI211" s="248" t="s">
        <v>336</v>
      </c>
      <c r="AJ211" s="250">
        <v>14</v>
      </c>
      <c r="AK211" s="248">
        <v>609</v>
      </c>
    </row>
    <row r="212" spans="1:37" x14ac:dyDescent="0.3">
      <c r="A212" s="511"/>
      <c r="F212" s="286"/>
      <c r="G212" s="93"/>
      <c r="H212" s="93"/>
      <c r="I212" s="93"/>
      <c r="J212" s="93"/>
      <c r="K212" s="93"/>
      <c r="L212" s="248" t="s">
        <v>807</v>
      </c>
      <c r="M212" s="248" t="s">
        <v>170</v>
      </c>
      <c r="N212" s="250">
        <v>1411</v>
      </c>
      <c r="O212" s="248">
        <v>1</v>
      </c>
      <c r="P212" s="93"/>
      <c r="Q212" s="303" t="s">
        <v>641</v>
      </c>
      <c r="R212" s="303" t="s">
        <v>423</v>
      </c>
      <c r="S212" s="304">
        <v>2062</v>
      </c>
      <c r="T212" s="303">
        <v>1</v>
      </c>
      <c r="U212" s="93"/>
      <c r="V212" s="303" t="s">
        <v>837</v>
      </c>
      <c r="W212" s="303" t="s">
        <v>838</v>
      </c>
      <c r="X212" s="304">
        <v>3234</v>
      </c>
      <c r="Y212" s="303">
        <v>1</v>
      </c>
      <c r="Z212" s="93"/>
      <c r="AA212" s="93"/>
      <c r="AB212" s="93"/>
      <c r="AC212" s="248" t="s">
        <v>742</v>
      </c>
      <c r="AD212" s="248" t="s">
        <v>242</v>
      </c>
      <c r="AE212" s="248">
        <v>1</v>
      </c>
      <c r="AF212" s="250">
        <v>16.5</v>
      </c>
      <c r="AG212" s="93"/>
      <c r="AH212" s="248" t="s">
        <v>843</v>
      </c>
      <c r="AI212" s="248" t="s">
        <v>336</v>
      </c>
      <c r="AJ212" s="250">
        <v>2</v>
      </c>
      <c r="AK212" s="248">
        <v>6</v>
      </c>
    </row>
    <row r="213" spans="1:37" x14ac:dyDescent="0.3">
      <c r="A213" s="511"/>
      <c r="B213" s="93"/>
      <c r="C213" s="93"/>
      <c r="F213" s="286"/>
      <c r="G213" s="93"/>
      <c r="H213" s="93"/>
      <c r="I213" s="93"/>
      <c r="J213" s="93"/>
      <c r="K213" s="93"/>
      <c r="L213" s="248" t="s">
        <v>188</v>
      </c>
      <c r="M213" s="248" t="s">
        <v>170</v>
      </c>
      <c r="N213" s="250">
        <v>7092</v>
      </c>
      <c r="O213" s="248">
        <v>1</v>
      </c>
      <c r="P213" s="93"/>
      <c r="Q213" s="303" t="s">
        <v>813</v>
      </c>
      <c r="R213" s="303" t="s">
        <v>423</v>
      </c>
      <c r="S213" s="304">
        <v>12420</v>
      </c>
      <c r="T213" s="303">
        <v>3</v>
      </c>
      <c r="U213" s="93"/>
      <c r="V213" s="303" t="s">
        <v>332</v>
      </c>
      <c r="W213" s="303" t="s">
        <v>333</v>
      </c>
      <c r="X213" s="303">
        <v>70</v>
      </c>
      <c r="Y213" s="303">
        <v>14</v>
      </c>
      <c r="Z213" s="93"/>
      <c r="AA213" s="93"/>
      <c r="AB213" s="93"/>
      <c r="AC213" s="248" t="s">
        <v>245</v>
      </c>
      <c r="AD213" s="248" t="s">
        <v>242</v>
      </c>
      <c r="AE213" s="248">
        <v>28</v>
      </c>
      <c r="AF213" s="250">
        <v>1711.2</v>
      </c>
      <c r="AG213" s="93"/>
      <c r="AH213" s="248" t="s">
        <v>844</v>
      </c>
      <c r="AI213" s="248" t="s">
        <v>205</v>
      </c>
      <c r="AJ213" s="250">
        <v>17</v>
      </c>
      <c r="AK213" s="248">
        <v>59.5</v>
      </c>
    </row>
    <row r="214" spans="1:37" x14ac:dyDescent="0.3">
      <c r="A214" s="511"/>
      <c r="B214" s="93"/>
      <c r="C214" s="93"/>
      <c r="F214" s="286"/>
      <c r="G214" s="93"/>
      <c r="H214" s="93"/>
      <c r="I214" s="93"/>
      <c r="J214" s="93"/>
      <c r="K214" s="93"/>
      <c r="L214" s="248" t="s">
        <v>421</v>
      </c>
      <c r="M214" s="248" t="s">
        <v>170</v>
      </c>
      <c r="N214" s="250">
        <v>1470</v>
      </c>
      <c r="O214" s="248">
        <v>1</v>
      </c>
      <c r="P214" s="93"/>
      <c r="Q214" s="303" t="s">
        <v>642</v>
      </c>
      <c r="R214" s="303" t="s">
        <v>643</v>
      </c>
      <c r="S214" s="304">
        <v>1174</v>
      </c>
      <c r="T214" s="303">
        <v>1</v>
      </c>
      <c r="U214" s="93"/>
      <c r="V214" s="303" t="s">
        <v>536</v>
      </c>
      <c r="W214" s="303" t="s">
        <v>336</v>
      </c>
      <c r="X214" s="303">
        <v>9</v>
      </c>
      <c r="Y214" s="303">
        <v>2</v>
      </c>
      <c r="Z214" s="93"/>
      <c r="AA214" s="93"/>
      <c r="AB214" s="93"/>
      <c r="AC214" s="248" t="s">
        <v>361</v>
      </c>
      <c r="AD214" s="248" t="s">
        <v>242</v>
      </c>
      <c r="AE214" s="248">
        <v>22</v>
      </c>
      <c r="AF214" s="250">
        <v>835.38</v>
      </c>
      <c r="AG214" s="93"/>
      <c r="AH214" s="248" t="s">
        <v>498</v>
      </c>
      <c r="AI214" s="248" t="s">
        <v>205</v>
      </c>
      <c r="AJ214" s="250">
        <v>18</v>
      </c>
      <c r="AK214" s="248">
        <v>117</v>
      </c>
    </row>
    <row r="215" spans="1:37" x14ac:dyDescent="0.3">
      <c r="A215" s="511"/>
      <c r="B215" s="93"/>
      <c r="C215" s="93"/>
      <c r="D215" s="208"/>
      <c r="E215" s="93"/>
      <c r="F215" s="286"/>
      <c r="G215" s="93"/>
      <c r="H215" s="93"/>
      <c r="I215" s="93"/>
      <c r="J215" s="93"/>
      <c r="K215" s="93"/>
      <c r="L215" s="248" t="s">
        <v>169</v>
      </c>
      <c r="M215" s="248" t="s">
        <v>170</v>
      </c>
      <c r="N215" s="250">
        <v>13031.2</v>
      </c>
      <c r="O215" s="248">
        <v>7</v>
      </c>
      <c r="P215" s="93"/>
      <c r="Q215" s="303" t="s">
        <v>198</v>
      </c>
      <c r="R215" s="303" t="s">
        <v>199</v>
      </c>
      <c r="S215" s="304">
        <v>7800</v>
      </c>
      <c r="T215" s="303">
        <v>2</v>
      </c>
      <c r="U215" s="93"/>
      <c r="V215" s="303" t="s">
        <v>538</v>
      </c>
      <c r="W215" s="303" t="s">
        <v>336</v>
      </c>
      <c r="X215" s="303">
        <v>11</v>
      </c>
      <c r="Y215" s="303">
        <v>2</v>
      </c>
      <c r="Z215" s="93"/>
      <c r="AA215" s="93"/>
      <c r="AB215" s="93"/>
      <c r="AC215" s="248" t="s">
        <v>857</v>
      </c>
      <c r="AD215" s="248" t="s">
        <v>242</v>
      </c>
      <c r="AE215" s="248">
        <v>1</v>
      </c>
      <c r="AF215" s="250">
        <v>64.099999999999994</v>
      </c>
      <c r="AG215" s="93"/>
      <c r="AH215" s="248" t="s">
        <v>500</v>
      </c>
      <c r="AI215" s="248" t="s">
        <v>205</v>
      </c>
      <c r="AJ215" s="250">
        <v>18</v>
      </c>
      <c r="AK215" s="248">
        <v>117</v>
      </c>
    </row>
    <row r="216" spans="1:37" x14ac:dyDescent="0.3">
      <c r="A216" s="511"/>
      <c r="B216" s="93"/>
      <c r="C216" s="93"/>
      <c r="D216" s="208"/>
      <c r="E216" s="93"/>
      <c r="F216" s="286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303" t="s">
        <v>814</v>
      </c>
      <c r="R216" s="303" t="s">
        <v>815</v>
      </c>
      <c r="S216" s="304">
        <v>3720</v>
      </c>
      <c r="T216" s="303">
        <v>1</v>
      </c>
      <c r="U216" s="93"/>
      <c r="V216" s="303" t="s">
        <v>539</v>
      </c>
      <c r="W216" s="303" t="s">
        <v>336</v>
      </c>
      <c r="X216" s="303">
        <v>5</v>
      </c>
      <c r="Y216" s="303">
        <v>2</v>
      </c>
      <c r="Z216" s="93"/>
      <c r="AA216" s="93"/>
      <c r="AB216" s="93"/>
      <c r="AC216" s="248" t="s">
        <v>362</v>
      </c>
      <c r="AD216" s="248" t="s">
        <v>242</v>
      </c>
      <c r="AE216" s="248">
        <v>29</v>
      </c>
      <c r="AF216" s="250">
        <v>1296.6500000000001</v>
      </c>
      <c r="AG216" s="93"/>
      <c r="AH216" s="248" t="s">
        <v>204</v>
      </c>
      <c r="AI216" s="248" t="s">
        <v>205</v>
      </c>
      <c r="AJ216" s="250">
        <v>28</v>
      </c>
      <c r="AK216" s="248">
        <v>379.68</v>
      </c>
    </row>
    <row r="217" spans="1:37" x14ac:dyDescent="0.3">
      <c r="A217" s="511"/>
      <c r="B217" s="93"/>
      <c r="C217" s="93"/>
      <c r="D217" s="93"/>
      <c r="E217" s="93"/>
      <c r="F217" s="286"/>
      <c r="G217" s="93"/>
      <c r="H217" s="93"/>
      <c r="I217" s="93"/>
      <c r="J217" s="93"/>
      <c r="K217" s="93"/>
      <c r="L217" s="93"/>
      <c r="M217" s="331"/>
      <c r="N217" s="332"/>
      <c r="O217" s="93"/>
      <c r="P217" s="93"/>
      <c r="Q217" s="303" t="s">
        <v>206</v>
      </c>
      <c r="R217" s="303" t="s">
        <v>207</v>
      </c>
      <c r="S217" s="304">
        <v>4200</v>
      </c>
      <c r="T217" s="303">
        <v>1</v>
      </c>
      <c r="U217" s="93"/>
      <c r="V217" s="303" t="s">
        <v>575</v>
      </c>
      <c r="W217" s="303" t="s">
        <v>576</v>
      </c>
      <c r="X217" s="303">
        <v>105</v>
      </c>
      <c r="Y217" s="303">
        <v>14</v>
      </c>
      <c r="Z217" s="93"/>
      <c r="AA217" s="93"/>
      <c r="AB217" s="93"/>
      <c r="AC217" s="248" t="s">
        <v>858</v>
      </c>
      <c r="AD217" s="248" t="s">
        <v>242</v>
      </c>
      <c r="AE217" s="248">
        <v>1</v>
      </c>
      <c r="AF217" s="250">
        <v>71.099999999999994</v>
      </c>
      <c r="AG217" s="93"/>
      <c r="AH217" s="248" t="s">
        <v>845</v>
      </c>
      <c r="AI217" s="248" t="s">
        <v>205</v>
      </c>
      <c r="AJ217" s="250">
        <v>4</v>
      </c>
      <c r="AK217" s="248">
        <v>43</v>
      </c>
    </row>
    <row r="218" spans="1:37" x14ac:dyDescent="0.3">
      <c r="A218" s="511"/>
      <c r="B218" s="93"/>
      <c r="C218" s="93"/>
      <c r="E218" s="93"/>
      <c r="F218" s="286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248" t="s">
        <v>200</v>
      </c>
      <c r="R218" s="248" t="s">
        <v>170</v>
      </c>
      <c r="S218" s="250">
        <v>10899</v>
      </c>
      <c r="T218" s="248">
        <v>9</v>
      </c>
      <c r="U218" s="93"/>
      <c r="V218" s="303" t="s">
        <v>573</v>
      </c>
      <c r="W218" s="303" t="s">
        <v>574</v>
      </c>
      <c r="X218" s="303">
        <v>408</v>
      </c>
      <c r="Y218" s="303">
        <v>24</v>
      </c>
      <c r="Z218" s="93"/>
      <c r="AA218" s="93"/>
      <c r="AB218" s="93"/>
      <c r="AC218" s="248" t="s">
        <v>352</v>
      </c>
      <c r="AD218" s="248" t="s">
        <v>242</v>
      </c>
      <c r="AE218" s="248">
        <v>32</v>
      </c>
      <c r="AF218" s="250">
        <v>1540.4</v>
      </c>
      <c r="AG218" s="93"/>
      <c r="AH218" s="248" t="s">
        <v>342</v>
      </c>
      <c r="AI218" s="248" t="s">
        <v>205</v>
      </c>
      <c r="AJ218" s="250">
        <v>32</v>
      </c>
      <c r="AK218" s="248">
        <v>144</v>
      </c>
    </row>
    <row r="219" spans="1:37" x14ac:dyDescent="0.3">
      <c r="A219" s="511"/>
      <c r="B219" s="93"/>
      <c r="C219" s="93"/>
      <c r="D219" s="93"/>
      <c r="E219" s="93"/>
      <c r="F219" s="286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248" t="s">
        <v>203</v>
      </c>
      <c r="R219" s="248" t="s">
        <v>806</v>
      </c>
      <c r="S219" s="250">
        <v>14936.6</v>
      </c>
      <c r="T219" s="248">
        <v>7</v>
      </c>
      <c r="U219" s="93"/>
      <c r="V219" s="303" t="s">
        <v>488</v>
      </c>
      <c r="W219" s="303" t="s">
        <v>489</v>
      </c>
      <c r="X219" s="303">
        <v>42</v>
      </c>
      <c r="Y219" s="303">
        <v>12</v>
      </c>
      <c r="Z219" s="93"/>
      <c r="AA219" s="93"/>
      <c r="AB219" s="93"/>
      <c r="AC219" s="248" t="s">
        <v>859</v>
      </c>
      <c r="AD219" s="248" t="s">
        <v>242</v>
      </c>
      <c r="AE219" s="248">
        <v>1</v>
      </c>
      <c r="AF219" s="250">
        <v>64.099999999999994</v>
      </c>
      <c r="AG219" s="93"/>
      <c r="AH219" s="248" t="s">
        <v>425</v>
      </c>
      <c r="AI219" s="248" t="s">
        <v>205</v>
      </c>
      <c r="AJ219" s="250">
        <v>16</v>
      </c>
      <c r="AK219" s="248">
        <v>52.8</v>
      </c>
    </row>
    <row r="220" spans="1:37" x14ac:dyDescent="0.3">
      <c r="A220" s="511"/>
      <c r="B220" s="93"/>
      <c r="C220" s="93"/>
      <c r="D220" s="208"/>
      <c r="E220" s="93"/>
      <c r="F220" s="286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248" t="s">
        <v>194</v>
      </c>
      <c r="R220" s="248" t="s">
        <v>170</v>
      </c>
      <c r="S220" s="250">
        <v>16101</v>
      </c>
      <c r="T220" s="248">
        <v>9</v>
      </c>
      <c r="U220" s="93"/>
      <c r="V220" s="303" t="s">
        <v>835</v>
      </c>
      <c r="W220" s="303" t="s">
        <v>836</v>
      </c>
      <c r="X220" s="303">
        <v>45.5</v>
      </c>
      <c r="Y220" s="303">
        <v>13</v>
      </c>
      <c r="Z220" s="93"/>
      <c r="AA220" s="93"/>
      <c r="AB220" s="93"/>
      <c r="AC220" s="248" t="s">
        <v>271</v>
      </c>
      <c r="AD220" s="248" t="s">
        <v>242</v>
      </c>
      <c r="AE220" s="248">
        <v>38</v>
      </c>
      <c r="AF220" s="250">
        <v>935.24</v>
      </c>
      <c r="AG220" s="93"/>
      <c r="AH220" s="248" t="s">
        <v>208</v>
      </c>
      <c r="AI220" s="248" t="s">
        <v>205</v>
      </c>
      <c r="AJ220" s="250">
        <v>4</v>
      </c>
      <c r="AK220" s="248">
        <v>11.2</v>
      </c>
    </row>
    <row r="221" spans="1:37" x14ac:dyDescent="0.3">
      <c r="A221" s="511"/>
      <c r="B221" s="93"/>
      <c r="C221" s="93"/>
      <c r="D221" s="93"/>
      <c r="E221" s="93"/>
      <c r="F221" s="286"/>
      <c r="G221" s="93"/>
      <c r="H221" s="93"/>
      <c r="I221" s="93"/>
      <c r="J221" s="93"/>
      <c r="K221" s="93"/>
      <c r="L221" s="93"/>
      <c r="M221" s="333"/>
      <c r="N221" s="334"/>
      <c r="O221" s="93"/>
      <c r="P221" s="93"/>
      <c r="Q221" s="93"/>
      <c r="R221" s="93"/>
      <c r="S221" s="93"/>
      <c r="T221" s="93"/>
      <c r="U221" s="93"/>
      <c r="V221" s="303" t="s">
        <v>329</v>
      </c>
      <c r="W221" s="303" t="s">
        <v>330</v>
      </c>
      <c r="X221" s="303">
        <v>280</v>
      </c>
      <c r="Y221" s="303">
        <v>14</v>
      </c>
      <c r="Z221" s="93"/>
      <c r="AA221" s="93"/>
      <c r="AB221" s="93"/>
      <c r="AC221" s="248" t="s">
        <v>860</v>
      </c>
      <c r="AD221" s="248" t="s">
        <v>242</v>
      </c>
      <c r="AE221" s="248">
        <v>1</v>
      </c>
      <c r="AF221" s="250">
        <v>27.44</v>
      </c>
      <c r="AG221" s="93"/>
      <c r="AH221" s="248" t="s">
        <v>190</v>
      </c>
      <c r="AI221" s="248" t="s">
        <v>205</v>
      </c>
      <c r="AJ221" s="250">
        <v>4</v>
      </c>
      <c r="AK221" s="248">
        <v>28</v>
      </c>
    </row>
    <row r="222" spans="1:37" x14ac:dyDescent="0.3">
      <c r="A222" s="511"/>
      <c r="B222" s="93"/>
      <c r="C222" s="93"/>
      <c r="F222" s="286"/>
      <c r="G222" s="93"/>
      <c r="H222" s="93"/>
      <c r="I222" s="93"/>
      <c r="J222" s="93"/>
      <c r="K222" s="93"/>
      <c r="L222" s="93"/>
      <c r="M222" s="333"/>
      <c r="N222" s="334"/>
      <c r="O222" s="93"/>
      <c r="P222" s="93"/>
      <c r="Q222" s="93"/>
      <c r="R222" s="93"/>
      <c r="S222" s="93"/>
      <c r="T222" s="93"/>
      <c r="U222" s="93"/>
      <c r="V222" s="303" t="s">
        <v>486</v>
      </c>
      <c r="W222" s="303" t="s">
        <v>487</v>
      </c>
      <c r="X222" s="303">
        <v>375</v>
      </c>
      <c r="Y222" s="303">
        <v>5</v>
      </c>
      <c r="Z222" s="93"/>
      <c r="AA222" s="93"/>
      <c r="AB222" s="93"/>
      <c r="AC222" s="248" t="s">
        <v>363</v>
      </c>
      <c r="AD222" s="248" t="s">
        <v>242</v>
      </c>
      <c r="AE222" s="248">
        <v>6</v>
      </c>
      <c r="AF222" s="250">
        <v>71</v>
      </c>
      <c r="AG222" s="93"/>
      <c r="AH222" s="248" t="s">
        <v>388</v>
      </c>
      <c r="AI222" s="248" t="s">
        <v>205</v>
      </c>
      <c r="AJ222" s="250">
        <v>12</v>
      </c>
      <c r="AK222" s="248">
        <v>114</v>
      </c>
    </row>
    <row r="223" spans="1:37" x14ac:dyDescent="0.3">
      <c r="A223" s="511"/>
      <c r="B223" s="93"/>
      <c r="C223" s="93"/>
      <c r="F223" s="286"/>
      <c r="G223" s="93"/>
      <c r="H223" s="93"/>
      <c r="I223" s="93"/>
      <c r="J223" s="93"/>
      <c r="K223" s="93"/>
      <c r="L223" s="93"/>
      <c r="M223" s="333"/>
      <c r="N223" s="334"/>
      <c r="O223" s="93"/>
      <c r="P223" s="93"/>
      <c r="Q223" s="93"/>
      <c r="R223" s="93"/>
      <c r="S223" s="93"/>
      <c r="T223" s="93"/>
      <c r="U223" s="93"/>
      <c r="V223" s="303" t="s">
        <v>590</v>
      </c>
      <c r="W223" s="303" t="s">
        <v>175</v>
      </c>
      <c r="X223" s="303">
        <v>60</v>
      </c>
      <c r="Y223" s="303">
        <v>2</v>
      </c>
      <c r="Z223" s="93"/>
      <c r="AA223" s="93"/>
      <c r="AB223" s="93"/>
      <c r="AC223" s="248" t="s">
        <v>861</v>
      </c>
      <c r="AD223" s="248" t="s">
        <v>242</v>
      </c>
      <c r="AE223" s="248">
        <v>1</v>
      </c>
      <c r="AF223" s="250">
        <v>16</v>
      </c>
      <c r="AG223" s="93"/>
      <c r="AH223" s="248" t="s">
        <v>386</v>
      </c>
      <c r="AI223" s="248" t="s">
        <v>205</v>
      </c>
      <c r="AJ223" s="250">
        <v>12</v>
      </c>
      <c r="AK223" s="248">
        <v>42</v>
      </c>
    </row>
    <row r="224" spans="1:37" x14ac:dyDescent="0.3">
      <c r="A224" s="511"/>
      <c r="B224" s="93"/>
      <c r="C224" s="93"/>
      <c r="F224" s="286"/>
      <c r="G224" s="93"/>
      <c r="H224" s="93"/>
      <c r="I224" s="93"/>
      <c r="J224" s="93"/>
      <c r="K224" s="93"/>
      <c r="L224" s="93"/>
      <c r="M224" s="333"/>
      <c r="N224" s="334"/>
      <c r="O224" s="93"/>
      <c r="P224" s="93"/>
      <c r="Q224" s="93"/>
      <c r="R224" s="93"/>
      <c r="S224" s="93"/>
      <c r="T224" s="93"/>
      <c r="U224" s="93"/>
      <c r="V224" s="303" t="s">
        <v>825</v>
      </c>
      <c r="W224" s="303" t="s">
        <v>339</v>
      </c>
      <c r="X224" s="303">
        <v>252</v>
      </c>
      <c r="Y224" s="303">
        <v>14</v>
      </c>
      <c r="Z224" s="93"/>
      <c r="AA224" s="93"/>
      <c r="AB224" s="93"/>
      <c r="AC224" s="248" t="s">
        <v>353</v>
      </c>
      <c r="AD224" s="248" t="s">
        <v>242</v>
      </c>
      <c r="AE224" s="248">
        <v>40</v>
      </c>
      <c r="AF224" s="250">
        <v>450</v>
      </c>
      <c r="AG224" s="93"/>
      <c r="AH224" s="248" t="s">
        <v>343</v>
      </c>
      <c r="AI224" s="248" t="s">
        <v>205</v>
      </c>
      <c r="AJ224" s="250">
        <v>7</v>
      </c>
      <c r="AK224" s="248">
        <v>44.31</v>
      </c>
    </row>
    <row r="225" spans="1:39" x14ac:dyDescent="0.3">
      <c r="A225" s="511"/>
      <c r="B225" s="93"/>
      <c r="C225" s="93"/>
      <c r="D225" s="94"/>
      <c r="F225" s="286"/>
      <c r="G225" s="93"/>
      <c r="H225" s="93"/>
      <c r="I225" s="93"/>
      <c r="J225" s="93"/>
      <c r="K225" s="93"/>
      <c r="L225" s="93"/>
      <c r="M225" s="333"/>
      <c r="N225" s="334"/>
      <c r="O225" s="93"/>
      <c r="P225" s="93"/>
      <c r="Q225" s="93"/>
      <c r="R225" s="93"/>
      <c r="S225" s="93"/>
      <c r="T225" s="93"/>
      <c r="U225" s="93"/>
      <c r="V225" s="303" t="s">
        <v>828</v>
      </c>
      <c r="W225" s="303" t="s">
        <v>829</v>
      </c>
      <c r="X225" s="303">
        <v>224</v>
      </c>
      <c r="Y225" s="303">
        <v>14</v>
      </c>
      <c r="Z225" s="93"/>
      <c r="AA225" s="93"/>
      <c r="AB225" s="93"/>
      <c r="AC225" s="248" t="s">
        <v>862</v>
      </c>
      <c r="AD225" s="248" t="s">
        <v>242</v>
      </c>
      <c r="AE225" s="248">
        <v>1</v>
      </c>
      <c r="AF225" s="250">
        <v>16</v>
      </c>
      <c r="AG225" s="93"/>
      <c r="AH225" s="248" t="s">
        <v>846</v>
      </c>
      <c r="AI225" s="248" t="s">
        <v>205</v>
      </c>
      <c r="AJ225" s="250">
        <v>11</v>
      </c>
      <c r="AK225" s="248">
        <v>93.5</v>
      </c>
    </row>
    <row r="226" spans="1:39" x14ac:dyDescent="0.3">
      <c r="A226" s="511"/>
      <c r="B226" s="93"/>
      <c r="C226" s="93"/>
      <c r="F226" s="286"/>
      <c r="G226" s="93"/>
      <c r="H226" s="93"/>
      <c r="I226" s="93"/>
      <c r="J226" s="93"/>
      <c r="K226" s="93"/>
      <c r="L226" s="93"/>
      <c r="M226" s="333"/>
      <c r="N226" s="334"/>
      <c r="O226" s="93"/>
      <c r="P226" s="93"/>
      <c r="Q226" s="93"/>
      <c r="R226" s="93"/>
      <c r="S226" s="93"/>
      <c r="T226" s="93"/>
      <c r="U226" s="93"/>
      <c r="V226" s="303" t="s">
        <v>338</v>
      </c>
      <c r="W226" s="303" t="s">
        <v>339</v>
      </c>
      <c r="X226" s="303">
        <v>161</v>
      </c>
      <c r="Y226" s="303">
        <v>14</v>
      </c>
      <c r="Z226" s="93"/>
      <c r="AA226" s="93"/>
      <c r="AB226" s="93"/>
      <c r="AC226" s="248" t="s">
        <v>354</v>
      </c>
      <c r="AD226" s="248" t="s">
        <v>242</v>
      </c>
      <c r="AE226" s="248">
        <v>20</v>
      </c>
      <c r="AF226" s="250">
        <v>230</v>
      </c>
      <c r="AG226" s="93"/>
      <c r="AH226" s="248" t="s">
        <v>235</v>
      </c>
      <c r="AI226" s="248" t="s">
        <v>205</v>
      </c>
      <c r="AJ226" s="250">
        <v>24</v>
      </c>
      <c r="AK226" s="248">
        <v>168</v>
      </c>
      <c r="AM226" s="302"/>
    </row>
    <row r="227" spans="1:39" x14ac:dyDescent="0.3">
      <c r="A227" s="511"/>
      <c r="B227" s="93"/>
      <c r="C227" s="93"/>
      <c r="D227" s="93"/>
      <c r="E227" s="93"/>
      <c r="F227" s="286"/>
      <c r="G227" s="93"/>
      <c r="H227" s="93"/>
      <c r="I227" s="93"/>
      <c r="J227" s="93"/>
      <c r="K227" s="93"/>
      <c r="L227" s="93"/>
      <c r="M227" s="333"/>
      <c r="N227" s="334"/>
      <c r="O227" s="93"/>
      <c r="P227" s="93"/>
      <c r="Q227" s="93"/>
      <c r="R227" s="93"/>
      <c r="S227" s="93"/>
      <c r="T227" s="93"/>
      <c r="U227" s="93"/>
      <c r="V227" s="303" t="s">
        <v>826</v>
      </c>
      <c r="W227" s="303" t="s">
        <v>827</v>
      </c>
      <c r="X227" s="303">
        <v>147</v>
      </c>
      <c r="Y227" s="303">
        <v>14</v>
      </c>
      <c r="Z227" s="93"/>
      <c r="AA227" s="93"/>
      <c r="AB227" s="93"/>
      <c r="AC227" s="248" t="s">
        <v>355</v>
      </c>
      <c r="AD227" s="248" t="s">
        <v>242</v>
      </c>
      <c r="AE227" s="248">
        <v>10</v>
      </c>
      <c r="AF227" s="250">
        <v>721.5</v>
      </c>
      <c r="AG227" s="93"/>
      <c r="AH227" s="248" t="s">
        <v>344</v>
      </c>
      <c r="AI227" s="248" t="s">
        <v>205</v>
      </c>
      <c r="AJ227" s="250">
        <v>8</v>
      </c>
      <c r="AK227" s="250">
        <v>34.75</v>
      </c>
      <c r="AM227" s="302"/>
    </row>
    <row r="228" spans="1:39" x14ac:dyDescent="0.3">
      <c r="A228" s="511"/>
      <c r="B228" s="93"/>
      <c r="C228" s="93"/>
      <c r="D228" s="93"/>
      <c r="E228" s="93"/>
      <c r="F228" s="286"/>
      <c r="G228" s="93"/>
      <c r="H228" s="93"/>
      <c r="I228" s="93"/>
      <c r="J228" s="93"/>
      <c r="K228" s="93"/>
      <c r="L228" s="93"/>
      <c r="M228" s="333"/>
      <c r="N228" s="334"/>
      <c r="O228" s="93"/>
      <c r="P228" s="93"/>
      <c r="Q228" s="93"/>
      <c r="R228" s="93"/>
      <c r="S228" s="93"/>
      <c r="T228" s="93"/>
      <c r="U228" s="93"/>
      <c r="V228" s="303" t="s">
        <v>321</v>
      </c>
      <c r="W228" s="303" t="s">
        <v>175</v>
      </c>
      <c r="X228" s="303">
        <v>199.5</v>
      </c>
      <c r="Y228" s="303">
        <v>21</v>
      </c>
      <c r="Z228" s="93"/>
      <c r="AA228" s="93"/>
      <c r="AB228" s="93"/>
      <c r="AC228" s="248" t="s">
        <v>356</v>
      </c>
      <c r="AD228" s="248" t="s">
        <v>242</v>
      </c>
      <c r="AE228" s="248">
        <v>29</v>
      </c>
      <c r="AF228" s="250">
        <v>1802.05</v>
      </c>
      <c r="AG228" s="93"/>
      <c r="AH228" s="248" t="s">
        <v>387</v>
      </c>
      <c r="AI228" s="248" t="s">
        <v>205</v>
      </c>
      <c r="AJ228" s="250">
        <v>4</v>
      </c>
      <c r="AK228" s="250">
        <v>12</v>
      </c>
      <c r="AM228" s="302"/>
    </row>
    <row r="229" spans="1:39" x14ac:dyDescent="0.3">
      <c r="A229" s="511"/>
      <c r="B229" s="93"/>
      <c r="C229" s="93"/>
      <c r="D229" s="93"/>
      <c r="E229" s="93"/>
      <c r="F229" s="286"/>
      <c r="G229" s="93"/>
      <c r="H229" s="93"/>
      <c r="I229" s="93"/>
      <c r="J229" s="93"/>
      <c r="K229" s="93"/>
      <c r="L229" s="93"/>
      <c r="M229" s="333"/>
      <c r="N229" s="334"/>
      <c r="O229" s="93"/>
      <c r="P229" s="93"/>
      <c r="Q229" s="93"/>
      <c r="R229" s="93"/>
      <c r="S229" s="93"/>
      <c r="T229" s="93"/>
      <c r="U229" s="93"/>
      <c r="V229" s="303" t="s">
        <v>646</v>
      </c>
      <c r="W229" s="303" t="s">
        <v>336</v>
      </c>
      <c r="X229" s="303">
        <v>60.5</v>
      </c>
      <c r="Y229" s="303">
        <v>11</v>
      </c>
      <c r="Z229" s="93"/>
      <c r="AA229" s="93"/>
      <c r="AB229" s="93"/>
      <c r="AC229" s="248" t="s">
        <v>358</v>
      </c>
      <c r="AD229" s="248" t="s">
        <v>242</v>
      </c>
      <c r="AE229" s="248">
        <v>15</v>
      </c>
      <c r="AF229" s="250">
        <v>417.35</v>
      </c>
      <c r="AG229" s="93"/>
      <c r="AH229" s="248" t="s">
        <v>682</v>
      </c>
      <c r="AI229" s="248" t="s">
        <v>205</v>
      </c>
      <c r="AJ229" s="250">
        <v>11</v>
      </c>
      <c r="AK229" s="250">
        <v>110</v>
      </c>
      <c r="AM229" s="302"/>
    </row>
    <row r="230" spans="1:39" x14ac:dyDescent="0.3">
      <c r="A230" s="511"/>
      <c r="B230" s="93"/>
      <c r="C230" s="93"/>
      <c r="D230" s="93"/>
      <c r="E230" s="93"/>
      <c r="F230" s="286"/>
      <c r="G230" s="93"/>
      <c r="H230" s="93"/>
      <c r="I230" s="93"/>
      <c r="J230" s="93"/>
      <c r="K230" s="93"/>
      <c r="L230" s="93"/>
      <c r="M230" s="333"/>
      <c r="N230" s="334"/>
      <c r="O230" s="93"/>
      <c r="P230" s="93"/>
      <c r="Q230" s="93"/>
      <c r="R230" s="93"/>
      <c r="S230" s="93"/>
      <c r="T230" s="93"/>
      <c r="U230" s="93"/>
      <c r="V230" s="303" t="s">
        <v>809</v>
      </c>
      <c r="W230" s="303" t="s">
        <v>810</v>
      </c>
      <c r="X230" s="303">
        <v>312</v>
      </c>
      <c r="Y230" s="303">
        <v>8</v>
      </c>
      <c r="Z230" s="93"/>
      <c r="AA230" s="93"/>
      <c r="AB230" s="93"/>
      <c r="AC230" s="248" t="s">
        <v>359</v>
      </c>
      <c r="AD230" s="248" t="s">
        <v>242</v>
      </c>
      <c r="AE230" s="248">
        <v>25</v>
      </c>
      <c r="AF230" s="250">
        <v>522.5</v>
      </c>
      <c r="AG230" s="93"/>
      <c r="AH230" s="248" t="s">
        <v>683</v>
      </c>
      <c r="AI230" s="248" t="s">
        <v>205</v>
      </c>
      <c r="AJ230" s="250">
        <v>16</v>
      </c>
      <c r="AK230" s="250">
        <v>376</v>
      </c>
      <c r="AM230" s="302"/>
    </row>
    <row r="231" spans="1:39" x14ac:dyDescent="0.3">
      <c r="A231" s="511"/>
      <c r="B231" s="93"/>
      <c r="C231" s="93"/>
      <c r="D231" s="93"/>
      <c r="E231" s="93"/>
      <c r="F231" s="286"/>
      <c r="G231" s="93"/>
      <c r="H231" s="93"/>
      <c r="I231" s="93"/>
      <c r="J231" s="93"/>
      <c r="K231" s="93"/>
      <c r="L231" s="93"/>
      <c r="O231" s="93"/>
      <c r="P231" s="93"/>
      <c r="Q231" s="93"/>
      <c r="R231" s="93"/>
      <c r="S231" s="93"/>
      <c r="T231" s="93"/>
      <c r="U231" s="93"/>
      <c r="V231" s="303" t="s">
        <v>816</v>
      </c>
      <c r="W231" s="303" t="s">
        <v>175</v>
      </c>
      <c r="X231" s="304">
        <v>7059</v>
      </c>
      <c r="Y231" s="303">
        <v>13</v>
      </c>
      <c r="Z231" s="93"/>
      <c r="AA231" s="93"/>
      <c r="AB231" s="93"/>
      <c r="AC231" s="248" t="s">
        <v>580</v>
      </c>
      <c r="AD231" s="248" t="s">
        <v>242</v>
      </c>
      <c r="AE231" s="248">
        <v>80</v>
      </c>
      <c r="AF231" s="250">
        <v>2998.2</v>
      </c>
      <c r="AG231" s="93"/>
      <c r="AH231" s="248" t="s">
        <v>210</v>
      </c>
      <c r="AI231" s="248" t="s">
        <v>205</v>
      </c>
      <c r="AJ231" s="250">
        <v>56</v>
      </c>
      <c r="AK231" s="250">
        <v>308</v>
      </c>
      <c r="AM231" s="302"/>
    </row>
    <row r="232" spans="1:39" x14ac:dyDescent="0.3">
      <c r="A232" s="511"/>
      <c r="B232" s="93"/>
      <c r="C232" s="93"/>
      <c r="D232" s="252"/>
      <c r="E232" s="93"/>
      <c r="F232" s="286"/>
      <c r="G232" s="93"/>
      <c r="H232" s="93"/>
      <c r="I232" s="93"/>
      <c r="J232" s="93"/>
      <c r="K232" s="93"/>
      <c r="L232" s="93"/>
      <c r="O232" s="93"/>
      <c r="P232" s="93"/>
      <c r="Q232" s="93"/>
      <c r="R232" s="93"/>
      <c r="S232" s="93"/>
      <c r="T232" s="93"/>
      <c r="U232" s="93"/>
      <c r="V232" s="303" t="s">
        <v>817</v>
      </c>
      <c r="W232" s="303" t="s">
        <v>175</v>
      </c>
      <c r="X232" s="304">
        <v>3600</v>
      </c>
      <c r="Y232" s="303">
        <v>4</v>
      </c>
      <c r="Z232" s="93"/>
      <c r="AA232" s="93"/>
      <c r="AB232" s="93"/>
      <c r="AC232" s="248" t="s">
        <v>581</v>
      </c>
      <c r="AD232" s="248" t="s">
        <v>242</v>
      </c>
      <c r="AE232" s="248">
        <v>53</v>
      </c>
      <c r="AF232" s="250">
        <v>1991.37</v>
      </c>
      <c r="AG232" s="93"/>
      <c r="AH232" s="248" t="s">
        <v>416</v>
      </c>
      <c r="AI232" s="248" t="s">
        <v>205</v>
      </c>
      <c r="AJ232" s="250">
        <v>24</v>
      </c>
      <c r="AK232" s="250">
        <v>384</v>
      </c>
      <c r="AM232" s="302"/>
    </row>
    <row r="233" spans="1:39" x14ac:dyDescent="0.3">
      <c r="A233" s="511"/>
      <c r="B233" s="93"/>
      <c r="C233" s="93"/>
      <c r="D233" s="252"/>
      <c r="E233" s="93"/>
      <c r="F233" s="286"/>
      <c r="G233" s="93"/>
      <c r="H233" s="93"/>
      <c r="I233" s="93"/>
      <c r="J233" s="93"/>
      <c r="K233" s="93"/>
      <c r="L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248" t="s">
        <v>582</v>
      </c>
      <c r="AD233" s="248" t="s">
        <v>242</v>
      </c>
      <c r="AE233" s="248">
        <v>65</v>
      </c>
      <c r="AF233" s="250">
        <v>2438.85</v>
      </c>
      <c r="AG233" s="93"/>
      <c r="AH233" s="248" t="s">
        <v>688</v>
      </c>
      <c r="AI233" s="248" t="s">
        <v>205</v>
      </c>
      <c r="AJ233" s="250">
        <v>5</v>
      </c>
      <c r="AK233" s="250">
        <v>89.6</v>
      </c>
      <c r="AM233" s="302"/>
    </row>
    <row r="234" spans="1:39" x14ac:dyDescent="0.3">
      <c r="A234" s="511"/>
      <c r="B234" s="93"/>
      <c r="C234" s="93"/>
      <c r="D234" s="252"/>
      <c r="E234" s="93"/>
      <c r="F234" s="286"/>
      <c r="G234" s="93"/>
      <c r="H234" s="93"/>
      <c r="I234" s="93"/>
      <c r="J234" s="93"/>
      <c r="K234" s="93"/>
      <c r="L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248" t="s">
        <v>394</v>
      </c>
      <c r="AD234" s="248" t="s">
        <v>242</v>
      </c>
      <c r="AE234" s="248">
        <v>21</v>
      </c>
      <c r="AF234" s="250">
        <v>1045.3</v>
      </c>
      <c r="AG234" s="93"/>
      <c r="AH234" s="248" t="s">
        <v>305</v>
      </c>
      <c r="AI234" s="248" t="s">
        <v>205</v>
      </c>
      <c r="AJ234" s="250">
        <v>130</v>
      </c>
      <c r="AK234" s="250">
        <v>1300</v>
      </c>
      <c r="AM234" s="302"/>
    </row>
    <row r="235" spans="1:39" x14ac:dyDescent="0.3">
      <c r="A235" s="511"/>
      <c r="B235" s="93"/>
      <c r="C235" s="93"/>
      <c r="D235" s="252"/>
      <c r="E235" s="93"/>
      <c r="F235" s="286"/>
      <c r="G235" s="252"/>
      <c r="H235" s="93"/>
      <c r="I235" s="93"/>
      <c r="J235" s="93"/>
      <c r="K235" s="93"/>
      <c r="L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248" t="s">
        <v>395</v>
      </c>
      <c r="AD235" s="248" t="s">
        <v>242</v>
      </c>
      <c r="AE235" s="248">
        <v>15</v>
      </c>
      <c r="AF235" s="250">
        <v>1140</v>
      </c>
      <c r="AG235" s="93"/>
      <c r="AH235" s="248" t="s">
        <v>401</v>
      </c>
      <c r="AI235" s="248" t="s">
        <v>205</v>
      </c>
      <c r="AJ235" s="250">
        <v>48</v>
      </c>
      <c r="AK235" s="250">
        <v>480</v>
      </c>
      <c r="AM235" s="302"/>
    </row>
    <row r="236" spans="1:39" x14ac:dyDescent="0.3">
      <c r="A236" s="511"/>
      <c r="B236" s="93"/>
      <c r="C236" s="93"/>
      <c r="D236" s="252"/>
      <c r="E236" s="93"/>
      <c r="F236" s="286"/>
      <c r="G236" s="252"/>
      <c r="H236" s="93"/>
      <c r="I236" s="93"/>
      <c r="J236" s="93"/>
      <c r="K236" s="93"/>
      <c r="L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248" t="s">
        <v>397</v>
      </c>
      <c r="AD236" s="248" t="s">
        <v>242</v>
      </c>
      <c r="AE236" s="248">
        <v>10</v>
      </c>
      <c r="AF236" s="250">
        <v>614</v>
      </c>
      <c r="AG236" s="93"/>
      <c r="AH236" s="248" t="s">
        <v>400</v>
      </c>
      <c r="AI236" s="248" t="s">
        <v>205</v>
      </c>
      <c r="AJ236" s="250">
        <v>48</v>
      </c>
      <c r="AK236" s="250">
        <v>480</v>
      </c>
      <c r="AM236" s="302"/>
    </row>
    <row r="237" spans="1:39" ht="17.399999999999999" x14ac:dyDescent="0.35">
      <c r="A237" s="511"/>
      <c r="B237" s="164"/>
      <c r="C237" s="164"/>
      <c r="D237" s="165"/>
      <c r="E237" s="164"/>
      <c r="F237" s="287"/>
      <c r="G237" s="164"/>
      <c r="H237" s="164"/>
      <c r="I237" s="164"/>
      <c r="J237" s="164"/>
      <c r="K237" s="164"/>
      <c r="L237" s="93"/>
      <c r="M237" s="93"/>
      <c r="N237" s="93"/>
      <c r="O237" s="93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93"/>
      <c r="AC237" s="248" t="s">
        <v>398</v>
      </c>
      <c r="AD237" s="248" t="s">
        <v>242</v>
      </c>
      <c r="AE237" s="248">
        <v>2</v>
      </c>
      <c r="AF237" s="250">
        <v>36</v>
      </c>
      <c r="AG237" s="93"/>
      <c r="AH237" s="248" t="s">
        <v>214</v>
      </c>
      <c r="AI237" s="248" t="s">
        <v>205</v>
      </c>
      <c r="AJ237" s="250">
        <v>98</v>
      </c>
      <c r="AK237" s="250">
        <v>2450</v>
      </c>
      <c r="AM237" s="302"/>
    </row>
    <row r="238" spans="1:39" ht="17.399999999999999" x14ac:dyDescent="0.35">
      <c r="A238" s="511"/>
      <c r="B238" s="164"/>
      <c r="C238" s="164"/>
      <c r="D238" s="165"/>
      <c r="E238" s="164"/>
      <c r="F238" s="287"/>
      <c r="G238" s="164"/>
      <c r="H238" s="164"/>
      <c r="I238" s="164"/>
      <c r="J238" s="164"/>
      <c r="K238" s="164"/>
      <c r="L238" s="93"/>
      <c r="M238" s="93"/>
      <c r="N238" s="93"/>
      <c r="O238" s="93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93"/>
      <c r="AC238" s="248" t="s">
        <v>743</v>
      </c>
      <c r="AD238" s="248" t="s">
        <v>242</v>
      </c>
      <c r="AE238" s="248">
        <v>6</v>
      </c>
      <c r="AF238" s="250">
        <v>367.4</v>
      </c>
      <c r="AG238" s="93"/>
      <c r="AH238" s="248" t="s">
        <v>211</v>
      </c>
      <c r="AI238" s="248" t="s">
        <v>205</v>
      </c>
      <c r="AJ238" s="250">
        <v>40</v>
      </c>
      <c r="AK238" s="250">
        <v>680</v>
      </c>
    </row>
    <row r="239" spans="1:39" ht="17.399999999999999" x14ac:dyDescent="0.35">
      <c r="A239" s="511"/>
      <c r="B239" s="164"/>
      <c r="C239" s="164"/>
      <c r="D239" s="165"/>
      <c r="E239" s="164"/>
      <c r="F239" s="287"/>
      <c r="G239" s="164"/>
      <c r="H239" s="164"/>
      <c r="I239" s="164"/>
      <c r="J239" s="164"/>
      <c r="K239" s="164"/>
      <c r="L239" s="93"/>
      <c r="M239" s="93"/>
      <c r="N239" s="93"/>
      <c r="O239" s="93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93"/>
      <c r="AC239" s="248" t="s">
        <v>863</v>
      </c>
      <c r="AD239" s="248" t="s">
        <v>242</v>
      </c>
      <c r="AE239" s="248">
        <v>4</v>
      </c>
      <c r="AF239" s="250">
        <v>182</v>
      </c>
      <c r="AG239" s="93"/>
      <c r="AH239" s="248" t="s">
        <v>316</v>
      </c>
      <c r="AI239" s="248" t="s">
        <v>205</v>
      </c>
      <c r="AJ239" s="250">
        <v>47</v>
      </c>
      <c r="AK239" s="250">
        <v>284</v>
      </c>
    </row>
    <row r="240" spans="1:39" ht="17.399999999999999" x14ac:dyDescent="0.35">
      <c r="A240" s="511"/>
      <c r="B240" s="164"/>
      <c r="C240" s="164"/>
      <c r="D240" s="254">
        <f>SUM(D197:D212)</f>
        <v>229855</v>
      </c>
      <c r="E240" s="164"/>
      <c r="F240" s="287"/>
      <c r="G240" s="164"/>
      <c r="H240" s="164"/>
      <c r="I240" s="254">
        <f>SUM(I197:I210)</f>
        <v>262601</v>
      </c>
      <c r="J240" s="164"/>
      <c r="K240" s="164"/>
      <c r="L240" s="164"/>
      <c r="M240" s="164"/>
      <c r="N240" s="254">
        <f>SUM(N197:N215)</f>
        <v>138906.20000000001</v>
      </c>
      <c r="O240" s="164"/>
      <c r="P240" s="164"/>
      <c r="Q240" s="164"/>
      <c r="R240" s="164"/>
      <c r="S240" s="254">
        <f>SUM(S197:S239)</f>
        <v>231552.7</v>
      </c>
      <c r="T240" s="164"/>
      <c r="U240" s="164"/>
      <c r="V240" s="164"/>
      <c r="W240" s="164"/>
      <c r="X240" s="254">
        <f>SUM(X197:X234)</f>
        <v>90103.58</v>
      </c>
      <c r="Y240" s="164"/>
      <c r="Z240" s="164"/>
      <c r="AA240" s="164"/>
      <c r="AB240" s="93"/>
      <c r="AC240" s="248" t="s">
        <v>864</v>
      </c>
      <c r="AD240" s="248" t="s">
        <v>242</v>
      </c>
      <c r="AE240" s="248">
        <v>4</v>
      </c>
      <c r="AF240" s="250">
        <v>182</v>
      </c>
      <c r="AG240" s="93"/>
      <c r="AH240" s="248" t="s">
        <v>389</v>
      </c>
      <c r="AI240" s="248" t="s">
        <v>205</v>
      </c>
      <c r="AJ240" s="250">
        <v>40</v>
      </c>
      <c r="AK240" s="250">
        <v>176</v>
      </c>
    </row>
    <row r="241" spans="1:39" ht="17.399999999999999" x14ac:dyDescent="0.35">
      <c r="A241" s="511"/>
      <c r="B241" s="164"/>
      <c r="C241" s="164"/>
      <c r="D241" s="164"/>
      <c r="E241" s="164"/>
      <c r="F241" s="287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93"/>
      <c r="AC241" s="248" t="s">
        <v>746</v>
      </c>
      <c r="AD241" s="248" t="s">
        <v>242</v>
      </c>
      <c r="AE241" s="248">
        <v>3</v>
      </c>
      <c r="AF241" s="250">
        <v>253.49</v>
      </c>
      <c r="AG241" s="93"/>
      <c r="AH241" s="248" t="s">
        <v>692</v>
      </c>
      <c r="AI241" s="248" t="s">
        <v>205</v>
      </c>
      <c r="AJ241" s="250">
        <v>8</v>
      </c>
      <c r="AK241" s="250">
        <v>28</v>
      </c>
      <c r="AM241" s="302"/>
    </row>
    <row r="242" spans="1:39" ht="17.399999999999999" x14ac:dyDescent="0.35">
      <c r="A242" s="511"/>
      <c r="B242" s="164"/>
      <c r="C242" s="164"/>
      <c r="D242" s="164"/>
      <c r="E242" s="164"/>
      <c r="F242" s="287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93"/>
      <c r="AC242" s="248" t="s">
        <v>519</v>
      </c>
      <c r="AD242" s="248" t="s">
        <v>242</v>
      </c>
      <c r="AE242" s="248">
        <v>10</v>
      </c>
      <c r="AF242" s="250">
        <v>555.5</v>
      </c>
      <c r="AG242" s="93"/>
      <c r="AH242" s="248" t="s">
        <v>847</v>
      </c>
      <c r="AI242" s="248" t="s">
        <v>205</v>
      </c>
      <c r="AJ242" s="250">
        <v>6</v>
      </c>
      <c r="AK242" s="250">
        <v>18</v>
      </c>
      <c r="AM242" s="302"/>
    </row>
    <row r="243" spans="1:39" ht="17.399999999999999" x14ac:dyDescent="0.35">
      <c r="A243" s="511"/>
      <c r="B243" s="164"/>
      <c r="C243" s="255"/>
      <c r="D243" s="522" t="s">
        <v>219</v>
      </c>
      <c r="E243" s="523"/>
      <c r="F243" s="533" t="s">
        <v>220</v>
      </c>
      <c r="G243" s="533"/>
      <c r="H243" s="533" t="s">
        <v>221</v>
      </c>
      <c r="I243" s="533"/>
      <c r="J243" s="533" t="s">
        <v>222</v>
      </c>
      <c r="K243" s="533"/>
      <c r="L243" s="522" t="s">
        <v>223</v>
      </c>
      <c r="M243" s="523"/>
      <c r="N243" s="533" t="s">
        <v>224</v>
      </c>
      <c r="O243" s="533"/>
      <c r="P243" s="533" t="s">
        <v>225</v>
      </c>
      <c r="Q243" s="533"/>
      <c r="R243" s="533" t="s">
        <v>226</v>
      </c>
      <c r="S243" s="533"/>
      <c r="T243" s="533" t="s">
        <v>227</v>
      </c>
      <c r="U243" s="533"/>
      <c r="V243" s="533" t="s">
        <v>228</v>
      </c>
      <c r="W243" s="533"/>
      <c r="X243" s="533" t="s">
        <v>229</v>
      </c>
      <c r="Y243" s="533"/>
      <c r="Z243" s="533" t="s">
        <v>230</v>
      </c>
      <c r="AA243" s="533"/>
      <c r="AB243" s="93"/>
      <c r="AC243" s="248" t="s">
        <v>275</v>
      </c>
      <c r="AD243" s="248" t="s">
        <v>242</v>
      </c>
      <c r="AE243" s="248">
        <v>10</v>
      </c>
      <c r="AF243" s="250">
        <v>368.4</v>
      </c>
      <c r="AG243" s="93"/>
      <c r="AH243" s="248" t="s">
        <v>366</v>
      </c>
      <c r="AI243" s="248" t="s">
        <v>205</v>
      </c>
      <c r="AJ243" s="250">
        <v>70</v>
      </c>
      <c r="AK243" s="250">
        <v>872.9</v>
      </c>
      <c r="AM243" s="302"/>
    </row>
    <row r="244" spans="1:39" ht="17.399999999999999" x14ac:dyDescent="0.35">
      <c r="A244" s="511"/>
      <c r="B244" s="164"/>
      <c r="C244" s="256" t="s">
        <v>233</v>
      </c>
      <c r="D244" s="257">
        <v>124163</v>
      </c>
      <c r="E244" s="257">
        <f>D244/60</f>
        <v>2069.3833333333332</v>
      </c>
      <c r="F244" s="296">
        <v>226382</v>
      </c>
      <c r="G244" s="257">
        <v>3773.0333333333333</v>
      </c>
      <c r="H244" s="278">
        <f>I240</f>
        <v>262601</v>
      </c>
      <c r="I244" s="257">
        <f>H244/60</f>
        <v>4376.6833333333334</v>
      </c>
      <c r="J244" s="255"/>
      <c r="K244" s="255"/>
      <c r="L244" s="258"/>
      <c r="M244" s="255"/>
      <c r="N244" s="255"/>
      <c r="O244" s="255"/>
      <c r="P244" s="259"/>
      <c r="Q244" s="255"/>
      <c r="R244" s="259"/>
      <c r="S244" s="255"/>
      <c r="T244" s="259"/>
      <c r="U244" s="255"/>
      <c r="V244" s="259"/>
      <c r="W244" s="255"/>
      <c r="X244" s="259"/>
      <c r="Y244" s="255"/>
      <c r="Z244" s="259"/>
      <c r="AA244" s="255"/>
      <c r="AB244" s="260"/>
      <c r="AC244" s="248" t="s">
        <v>865</v>
      </c>
      <c r="AD244" s="248" t="s">
        <v>242</v>
      </c>
      <c r="AE244" s="248">
        <v>1</v>
      </c>
      <c r="AF244" s="250">
        <v>31.5</v>
      </c>
      <c r="AG244" s="93"/>
      <c r="AH244" s="248" t="s">
        <v>848</v>
      </c>
      <c r="AI244" s="248" t="s">
        <v>205</v>
      </c>
      <c r="AJ244" s="250">
        <v>12</v>
      </c>
      <c r="AK244" s="250">
        <v>24.2</v>
      </c>
      <c r="AM244" s="302"/>
    </row>
    <row r="245" spans="1:39" ht="17.399999999999999" x14ac:dyDescent="0.35">
      <c r="A245" s="511"/>
      <c r="B245" s="164"/>
      <c r="C245" s="256" t="s">
        <v>234</v>
      </c>
      <c r="D245" s="257">
        <v>172515.20000000001</v>
      </c>
      <c r="E245" s="257">
        <f>D245/60</f>
        <v>2875.2533333333336</v>
      </c>
      <c r="F245" s="296">
        <v>201945.40000000002</v>
      </c>
      <c r="G245" s="257">
        <v>3365.7566666666671</v>
      </c>
      <c r="H245" s="278">
        <f>D240</f>
        <v>229855</v>
      </c>
      <c r="I245" s="257">
        <f t="shared" ref="I245:I249" si="29">H245/60</f>
        <v>3830.9166666666665</v>
      </c>
      <c r="J245" s="255"/>
      <c r="K245" s="255"/>
      <c r="L245" s="255"/>
      <c r="M245" s="255"/>
      <c r="N245" s="255"/>
      <c r="O245" s="255"/>
      <c r="P245" s="259"/>
      <c r="Q245" s="255"/>
      <c r="R245" s="259"/>
      <c r="S245" s="255"/>
      <c r="T245" s="259"/>
      <c r="U245" s="255"/>
      <c r="V245" s="259"/>
      <c r="W245" s="255"/>
      <c r="X245" s="255"/>
      <c r="Y245" s="255"/>
      <c r="Z245" s="259"/>
      <c r="AA245" s="255"/>
      <c r="AB245" s="93"/>
      <c r="AC245" s="248" t="s">
        <v>277</v>
      </c>
      <c r="AD245" s="248" t="s">
        <v>242</v>
      </c>
      <c r="AE245" s="248">
        <v>2</v>
      </c>
      <c r="AF245" s="250">
        <v>62.86</v>
      </c>
      <c r="AG245" s="93"/>
      <c r="AH245" s="248" t="s">
        <v>693</v>
      </c>
      <c r="AI245" s="248" t="s">
        <v>205</v>
      </c>
      <c r="AJ245" s="250">
        <v>2</v>
      </c>
      <c r="AK245" s="250">
        <v>10.6</v>
      </c>
      <c r="AM245" s="302"/>
    </row>
    <row r="246" spans="1:39" ht="17.399999999999999" x14ac:dyDescent="0.35">
      <c r="A246" s="511"/>
      <c r="B246" s="164"/>
      <c r="C246" s="256" t="s">
        <v>236</v>
      </c>
      <c r="D246" s="257">
        <v>157647.1</v>
      </c>
      <c r="E246" s="257">
        <f t="shared" ref="E246:E248" si="30">D246/60</f>
        <v>2627.4516666666668</v>
      </c>
      <c r="F246" s="296">
        <v>173546</v>
      </c>
      <c r="G246" s="257">
        <v>2892.4333333333334</v>
      </c>
      <c r="H246" s="278">
        <f>S240</f>
        <v>231552.7</v>
      </c>
      <c r="I246" s="257">
        <f t="shared" si="29"/>
        <v>3859.211666666667</v>
      </c>
      <c r="J246" s="255"/>
      <c r="K246" s="255"/>
      <c r="L246" s="255"/>
      <c r="M246" s="255"/>
      <c r="N246" s="255"/>
      <c r="O246" s="255"/>
      <c r="P246" s="259"/>
      <c r="Q246" s="255"/>
      <c r="R246" s="259"/>
      <c r="S246" s="255"/>
      <c r="T246" s="259"/>
      <c r="U246" s="255"/>
      <c r="V246" s="259"/>
      <c r="W246" s="255"/>
      <c r="X246" s="255"/>
      <c r="Y246" s="255"/>
      <c r="Z246" s="259"/>
      <c r="AA246" s="255"/>
      <c r="AB246" s="93"/>
      <c r="AC246" s="248" t="s">
        <v>286</v>
      </c>
      <c r="AD246" s="248" t="s">
        <v>280</v>
      </c>
      <c r="AE246" s="248">
        <v>1</v>
      </c>
      <c r="AF246" s="250">
        <v>52.2</v>
      </c>
      <c r="AG246" s="93"/>
      <c r="AH246" s="248" t="s">
        <v>694</v>
      </c>
      <c r="AI246" s="248" t="s">
        <v>205</v>
      </c>
      <c r="AJ246" s="250">
        <v>12</v>
      </c>
      <c r="AK246" s="250">
        <v>90</v>
      </c>
      <c r="AM246" s="302"/>
    </row>
    <row r="247" spans="1:39" ht="17.399999999999999" x14ac:dyDescent="0.35">
      <c r="A247" s="511"/>
      <c r="B247" s="164"/>
      <c r="C247" s="256" t="s">
        <v>237</v>
      </c>
      <c r="D247" s="257">
        <v>74670</v>
      </c>
      <c r="E247" s="257">
        <f t="shared" si="30"/>
        <v>1244.5</v>
      </c>
      <c r="F247" s="296">
        <v>96006.8</v>
      </c>
      <c r="G247" s="257">
        <v>1600.1133333333335</v>
      </c>
      <c r="H247" s="278">
        <f>N240</f>
        <v>138906.20000000001</v>
      </c>
      <c r="I247" s="257">
        <f t="shared" si="29"/>
        <v>2315.1033333333335</v>
      </c>
      <c r="J247" s="255"/>
      <c r="K247" s="255"/>
      <c r="L247" s="255"/>
      <c r="M247" s="255"/>
      <c r="N247" s="255"/>
      <c r="O247" s="255"/>
      <c r="P247" s="259"/>
      <c r="Q247" s="255"/>
      <c r="R247" s="259"/>
      <c r="S247" s="255"/>
      <c r="T247" s="259"/>
      <c r="U247" s="255"/>
      <c r="V247" s="259"/>
      <c r="W247" s="255"/>
      <c r="X247" s="255"/>
      <c r="Y247" s="255"/>
      <c r="Z247" s="259"/>
      <c r="AA247" s="255"/>
      <c r="AB247" s="93"/>
      <c r="AC247" s="248" t="s">
        <v>749</v>
      </c>
      <c r="AD247" s="248" t="s">
        <v>750</v>
      </c>
      <c r="AE247" s="248">
        <v>18</v>
      </c>
      <c r="AF247" s="250">
        <v>297</v>
      </c>
      <c r="AG247" s="93"/>
      <c r="AH247" s="248" t="s">
        <v>178</v>
      </c>
      <c r="AI247" s="248" t="s">
        <v>205</v>
      </c>
      <c r="AJ247" s="250">
        <v>20</v>
      </c>
      <c r="AK247" s="250">
        <v>84</v>
      </c>
      <c r="AM247" s="302"/>
    </row>
    <row r="248" spans="1:39" ht="17.399999999999999" x14ac:dyDescent="0.35">
      <c r="A248" s="511"/>
      <c r="B248" s="164"/>
      <c r="C248" s="256" t="s">
        <v>238</v>
      </c>
      <c r="D248" s="257">
        <v>6660.85</v>
      </c>
      <c r="E248" s="257">
        <f t="shared" si="30"/>
        <v>111.01416666666667</v>
      </c>
      <c r="F248" s="296">
        <v>46265.5</v>
      </c>
      <c r="G248" s="257">
        <v>771.0916666666667</v>
      </c>
      <c r="H248" s="278">
        <f>X240</f>
        <v>90103.58</v>
      </c>
      <c r="I248" s="257">
        <f t="shared" si="29"/>
        <v>1501.7263333333333</v>
      </c>
      <c r="J248" s="255"/>
      <c r="K248" s="255"/>
      <c r="L248" s="263"/>
      <c r="M248" s="255"/>
      <c r="N248" s="263"/>
      <c r="O248" s="255"/>
      <c r="P248" s="264"/>
      <c r="Q248" s="255"/>
      <c r="R248" s="264"/>
      <c r="S248" s="255"/>
      <c r="T248" s="264"/>
      <c r="U248" s="255"/>
      <c r="V248" s="264"/>
      <c r="W248" s="255"/>
      <c r="X248" s="263"/>
      <c r="Y248" s="255"/>
      <c r="Z248" s="263"/>
      <c r="AA248" s="255"/>
      <c r="AB248" s="93"/>
      <c r="AC248" s="248" t="s">
        <v>372</v>
      </c>
      <c r="AD248" s="248" t="s">
        <v>431</v>
      </c>
      <c r="AE248" s="248">
        <v>11</v>
      </c>
      <c r="AF248" s="250">
        <v>256</v>
      </c>
      <c r="AG248" s="93"/>
      <c r="AH248" s="248" t="s">
        <v>849</v>
      </c>
      <c r="AI248" s="248" t="s">
        <v>205</v>
      </c>
      <c r="AJ248" s="250">
        <v>15</v>
      </c>
      <c r="AK248" s="250">
        <v>117</v>
      </c>
      <c r="AM248" s="302"/>
    </row>
    <row r="249" spans="1:39" ht="17.399999999999999" x14ac:dyDescent="0.35">
      <c r="A249" s="511"/>
      <c r="B249" s="265"/>
      <c r="C249" s="256" t="s">
        <v>239</v>
      </c>
      <c r="D249" s="257">
        <v>3672</v>
      </c>
      <c r="E249" s="257">
        <f>D249/60</f>
        <v>61.2</v>
      </c>
      <c r="F249" s="296">
        <v>72295.34</v>
      </c>
      <c r="G249" s="257">
        <v>1204.9223333333332</v>
      </c>
      <c r="H249" s="278">
        <f>SUM(AF197:AF289,AK197:AK289)</f>
        <v>69349.39999999998</v>
      </c>
      <c r="I249" s="257">
        <f t="shared" si="29"/>
        <v>1155.823333333333</v>
      </c>
      <c r="J249" s="255"/>
      <c r="K249" s="255"/>
      <c r="L249" s="255"/>
      <c r="M249" s="255"/>
      <c r="N249" s="255"/>
      <c r="O249" s="255"/>
      <c r="P249" s="255"/>
      <c r="Q249" s="255"/>
      <c r="R249" s="255"/>
      <c r="S249" s="255"/>
      <c r="T249" s="255"/>
      <c r="U249" s="255"/>
      <c r="V249" s="255"/>
      <c r="W249" s="255"/>
      <c r="X249" s="255"/>
      <c r="Y249" s="255"/>
      <c r="Z249" s="255"/>
      <c r="AA249" s="255"/>
      <c r="AB249" s="93"/>
      <c r="AC249" s="248" t="s">
        <v>755</v>
      </c>
      <c r="AD249" s="248" t="s">
        <v>431</v>
      </c>
      <c r="AE249" s="248">
        <v>12</v>
      </c>
      <c r="AF249" s="250">
        <v>695.52</v>
      </c>
      <c r="AG249" s="93"/>
      <c r="AH249" s="248" t="s">
        <v>850</v>
      </c>
      <c r="AI249" s="248" t="s">
        <v>205</v>
      </c>
      <c r="AJ249" s="250">
        <v>40</v>
      </c>
      <c r="AK249" s="250">
        <v>81.5</v>
      </c>
      <c r="AM249" s="302"/>
    </row>
    <row r="250" spans="1:39" ht="17.399999999999999" x14ac:dyDescent="0.35">
      <c r="A250" s="511"/>
      <c r="B250" s="164"/>
      <c r="C250" s="162"/>
      <c r="D250" s="163"/>
      <c r="E250" s="266">
        <f>SUM(E244:E249)</f>
        <v>8988.8024999999998</v>
      </c>
      <c r="F250" s="288"/>
      <c r="G250" s="266">
        <f>SUM(G244:G249)</f>
        <v>13607.350666666669</v>
      </c>
      <c r="H250" s="278"/>
      <c r="I250" s="266">
        <f>SUM(I244:I249)</f>
        <v>17039.464666666667</v>
      </c>
      <c r="J250" s="255"/>
      <c r="K250" s="267"/>
      <c r="L250" s="255"/>
      <c r="M250" s="267"/>
      <c r="N250" s="255"/>
      <c r="O250" s="267"/>
      <c r="P250" s="255"/>
      <c r="Q250" s="267"/>
      <c r="R250" s="255"/>
      <c r="S250" s="268"/>
      <c r="T250" s="255"/>
      <c r="U250" s="267"/>
      <c r="V250" s="255"/>
      <c r="W250" s="267"/>
      <c r="X250" s="255"/>
      <c r="Y250" s="267"/>
      <c r="Z250" s="255"/>
      <c r="AA250" s="269"/>
      <c r="AB250" s="93"/>
      <c r="AC250" s="248" t="s">
        <v>297</v>
      </c>
      <c r="AD250" s="248" t="s">
        <v>298</v>
      </c>
      <c r="AE250" s="248">
        <v>52</v>
      </c>
      <c r="AF250" s="250">
        <v>175.36</v>
      </c>
      <c r="AG250" s="93"/>
      <c r="AH250" s="248" t="s">
        <v>700</v>
      </c>
      <c r="AI250" s="248" t="s">
        <v>205</v>
      </c>
      <c r="AJ250" s="250">
        <v>13</v>
      </c>
      <c r="AK250" s="250">
        <v>29.9</v>
      </c>
      <c r="AM250" s="302"/>
    </row>
    <row r="251" spans="1:39" ht="17.399999999999999" x14ac:dyDescent="0.35">
      <c r="A251" s="511"/>
      <c r="B251" s="164"/>
      <c r="C251" s="164"/>
      <c r="D251" s="164"/>
      <c r="E251" s="164"/>
      <c r="F251" s="287"/>
      <c r="G251" s="164"/>
      <c r="H251" s="164"/>
      <c r="I251" s="164"/>
      <c r="J251" s="164"/>
      <c r="K251" s="164"/>
      <c r="L251" s="164"/>
      <c r="M251" s="165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93"/>
      <c r="AC251" s="248" t="s">
        <v>299</v>
      </c>
      <c r="AD251" s="248" t="s">
        <v>298</v>
      </c>
      <c r="AE251" s="248">
        <v>52</v>
      </c>
      <c r="AF251" s="250">
        <v>175.36</v>
      </c>
      <c r="AG251" s="93"/>
      <c r="AH251" s="248" t="s">
        <v>501</v>
      </c>
      <c r="AI251" s="248" t="s">
        <v>205</v>
      </c>
      <c r="AJ251" s="250">
        <v>21</v>
      </c>
      <c r="AK251" s="250">
        <v>535.5</v>
      </c>
      <c r="AM251" s="302"/>
    </row>
    <row r="252" spans="1:39" x14ac:dyDescent="0.3">
      <c r="A252" s="511"/>
      <c r="B252" s="93"/>
      <c r="C252" s="93"/>
      <c r="D252" s="93"/>
      <c r="E252" s="93"/>
      <c r="F252" s="286"/>
      <c r="G252" s="93"/>
      <c r="H252" s="93"/>
      <c r="I252" s="93"/>
      <c r="J252" s="93"/>
      <c r="K252" s="93"/>
      <c r="L252" s="93"/>
      <c r="M252" s="93"/>
      <c r="N252" s="252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248" t="s">
        <v>866</v>
      </c>
      <c r="AD252" s="248" t="s">
        <v>867</v>
      </c>
      <c r="AE252" s="248">
        <v>5</v>
      </c>
      <c r="AF252" s="250">
        <v>1050</v>
      </c>
      <c r="AG252" s="93"/>
      <c r="AH252" s="248" t="s">
        <v>701</v>
      </c>
      <c r="AI252" s="248" t="s">
        <v>205</v>
      </c>
      <c r="AJ252" s="250">
        <v>32</v>
      </c>
      <c r="AK252" s="250">
        <v>144</v>
      </c>
      <c r="AM252" s="302"/>
    </row>
    <row r="253" spans="1:39" x14ac:dyDescent="0.3">
      <c r="A253" s="511"/>
      <c r="B253" s="93"/>
      <c r="C253" s="93"/>
      <c r="D253" s="93"/>
      <c r="E253" s="93"/>
      <c r="F253" s="286"/>
      <c r="G253" s="93"/>
      <c r="H253" s="93"/>
      <c r="I253" s="93"/>
      <c r="J253" s="93"/>
      <c r="K253" s="93"/>
      <c r="L253" s="208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248" t="s">
        <v>760</v>
      </c>
      <c r="AD253" s="248" t="s">
        <v>301</v>
      </c>
      <c r="AE253" s="248">
        <v>44</v>
      </c>
      <c r="AF253" s="250">
        <v>286</v>
      </c>
      <c r="AG253" s="93"/>
      <c r="AH253" s="248" t="s">
        <v>851</v>
      </c>
      <c r="AI253" s="248" t="s">
        <v>205</v>
      </c>
      <c r="AJ253" s="250">
        <v>5</v>
      </c>
      <c r="AK253" s="250">
        <v>137.5</v>
      </c>
      <c r="AM253" s="302"/>
    </row>
    <row r="254" spans="1:39" x14ac:dyDescent="0.3">
      <c r="A254" s="511"/>
      <c r="B254" s="93"/>
      <c r="C254" s="93"/>
      <c r="D254" s="93"/>
      <c r="E254" s="93"/>
      <c r="F254" s="286"/>
      <c r="G254" s="93"/>
      <c r="H254" s="93"/>
      <c r="I254" s="93"/>
      <c r="J254" s="93"/>
      <c r="K254" s="93"/>
      <c r="L254" s="208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248" t="s">
        <v>761</v>
      </c>
      <c r="AD254" s="248" t="s">
        <v>301</v>
      </c>
      <c r="AE254" s="248">
        <v>54</v>
      </c>
      <c r="AF254" s="250">
        <v>291.60000000000002</v>
      </c>
      <c r="AG254" s="93"/>
      <c r="AH254" s="248" t="s">
        <v>605</v>
      </c>
      <c r="AI254" s="248" t="s">
        <v>205</v>
      </c>
      <c r="AJ254" s="250">
        <v>30</v>
      </c>
      <c r="AK254" s="250">
        <v>375</v>
      </c>
      <c r="AM254" s="302"/>
    </row>
    <row r="255" spans="1:39" ht="15" thickBot="1" x14ac:dyDescent="0.35">
      <c r="A255" s="511"/>
      <c r="B255" s="93"/>
      <c r="C255" s="93"/>
      <c r="D255" s="93"/>
      <c r="E255" s="93"/>
      <c r="F255" s="286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248" t="s">
        <v>308</v>
      </c>
      <c r="AD255" s="248" t="s">
        <v>301</v>
      </c>
      <c r="AE255" s="248">
        <v>33</v>
      </c>
      <c r="AF255" s="250">
        <v>2425.5</v>
      </c>
      <c r="AG255" s="93"/>
      <c r="AH255" s="248" t="s">
        <v>712</v>
      </c>
      <c r="AI255" s="248" t="s">
        <v>713</v>
      </c>
      <c r="AJ255" s="250">
        <v>4</v>
      </c>
      <c r="AK255" s="250">
        <v>72</v>
      </c>
      <c r="AM255" s="302"/>
    </row>
    <row r="256" spans="1:39" ht="31.8" thickBot="1" x14ac:dyDescent="0.65">
      <c r="A256" s="511"/>
      <c r="B256" s="525" t="s">
        <v>246</v>
      </c>
      <c r="C256" s="525"/>
      <c r="D256" s="525"/>
      <c r="E256" s="525"/>
      <c r="F256" s="525"/>
      <c r="G256" s="525"/>
      <c r="H256" s="525"/>
      <c r="I256" s="525"/>
      <c r="J256" s="525"/>
      <c r="K256" s="525"/>
      <c r="L256" s="525"/>
      <c r="M256" s="525"/>
      <c r="N256" s="525"/>
      <c r="O256" s="525"/>
      <c r="P256" s="525"/>
      <c r="Q256" s="525"/>
      <c r="R256" s="525"/>
      <c r="S256" s="525"/>
      <c r="T256" s="525"/>
      <c r="U256" s="525"/>
      <c r="V256" s="525"/>
      <c r="W256" s="525"/>
      <c r="X256" s="525"/>
      <c r="Y256" s="525"/>
      <c r="Z256" s="525"/>
      <c r="AA256" s="526"/>
      <c r="AB256" s="93"/>
      <c r="AC256" s="248" t="s">
        <v>868</v>
      </c>
      <c r="AD256" s="248" t="s">
        <v>301</v>
      </c>
      <c r="AE256" s="248">
        <v>6</v>
      </c>
      <c r="AF256" s="250">
        <v>42.2</v>
      </c>
      <c r="AG256" s="93"/>
      <c r="AH256" s="248" t="s">
        <v>183</v>
      </c>
      <c r="AI256" s="248" t="s">
        <v>606</v>
      </c>
      <c r="AJ256" s="250">
        <v>50</v>
      </c>
      <c r="AK256" s="250">
        <v>400</v>
      </c>
      <c r="AM256" s="302"/>
    </row>
    <row r="257" spans="1:39" ht="17.399999999999999" thickBot="1" x14ac:dyDescent="0.35">
      <c r="A257" s="511"/>
      <c r="B257" s="527"/>
      <c r="C257" s="527"/>
      <c r="D257" s="166" t="s">
        <v>247</v>
      </c>
      <c r="E257" s="167" t="s">
        <v>248</v>
      </c>
      <c r="F257" s="289" t="s">
        <v>249</v>
      </c>
      <c r="G257" s="169" t="s">
        <v>250</v>
      </c>
      <c r="H257" s="166" t="s">
        <v>251</v>
      </c>
      <c r="I257" s="167" t="s">
        <v>252</v>
      </c>
      <c r="J257" s="168" t="s">
        <v>253</v>
      </c>
      <c r="K257" s="169" t="s">
        <v>254</v>
      </c>
      <c r="L257" s="166" t="s">
        <v>255</v>
      </c>
      <c r="M257" s="167" t="s">
        <v>256</v>
      </c>
      <c r="N257" s="168" t="s">
        <v>257</v>
      </c>
      <c r="O257" s="169" t="s">
        <v>258</v>
      </c>
      <c r="P257" s="166" t="s">
        <v>259</v>
      </c>
      <c r="Q257" s="167" t="s">
        <v>260</v>
      </c>
      <c r="R257" s="166" t="s">
        <v>261</v>
      </c>
      <c r="S257" s="167" t="s">
        <v>262</v>
      </c>
      <c r="T257" s="166" t="s">
        <v>263</v>
      </c>
      <c r="U257" s="166" t="s">
        <v>264</v>
      </c>
      <c r="V257" s="166" t="s">
        <v>265</v>
      </c>
      <c r="W257" s="170" t="s">
        <v>266</v>
      </c>
      <c r="X257" s="166" t="s">
        <v>267</v>
      </c>
      <c r="Y257" s="170" t="s">
        <v>268</v>
      </c>
      <c r="Z257" s="166" t="s">
        <v>269</v>
      </c>
      <c r="AA257" s="170" t="s">
        <v>270</v>
      </c>
      <c r="AB257" s="93"/>
      <c r="AC257" s="248" t="s">
        <v>763</v>
      </c>
      <c r="AD257" s="248" t="s">
        <v>399</v>
      </c>
      <c r="AE257" s="248">
        <v>28</v>
      </c>
      <c r="AF257" s="250">
        <v>364</v>
      </c>
      <c r="AG257" s="93"/>
      <c r="AH257" s="248" t="s">
        <v>213</v>
      </c>
      <c r="AI257" s="248" t="s">
        <v>212</v>
      </c>
      <c r="AJ257" s="250">
        <v>76</v>
      </c>
      <c r="AK257" s="250">
        <v>418</v>
      </c>
      <c r="AM257" s="302"/>
    </row>
    <row r="258" spans="1:39" ht="18" thickBot="1" x14ac:dyDescent="0.4">
      <c r="A258" s="511"/>
      <c r="B258" s="357">
        <v>110012</v>
      </c>
      <c r="C258" s="171" t="s">
        <v>272</v>
      </c>
      <c r="D258" s="203">
        <v>707750.65</v>
      </c>
      <c r="E258" s="204">
        <f>D258/60</f>
        <v>11795.844166666668</v>
      </c>
      <c r="F258" s="290">
        <v>953892</v>
      </c>
      <c r="G258" s="204">
        <f>F258/60</f>
        <v>15898.2</v>
      </c>
      <c r="H258" s="175">
        <v>1116136.94</v>
      </c>
      <c r="I258" s="204">
        <f>H258/60</f>
        <v>18602.282333333333</v>
      </c>
      <c r="J258" s="175"/>
      <c r="K258" s="173">
        <f>J258/60</f>
        <v>0</v>
      </c>
      <c r="L258" s="172"/>
      <c r="M258" s="173">
        <f>L258/60</f>
        <v>0</v>
      </c>
      <c r="N258" s="176"/>
      <c r="O258" s="173">
        <f>N258/60</f>
        <v>0</v>
      </c>
      <c r="P258" s="177"/>
      <c r="Q258" s="173">
        <f>P258/60</f>
        <v>0</v>
      </c>
      <c r="R258" s="176"/>
      <c r="S258" s="173">
        <f>R258/60</f>
        <v>0</v>
      </c>
      <c r="T258" s="176"/>
      <c r="U258" s="173">
        <f>T258/60</f>
        <v>0</v>
      </c>
      <c r="V258" s="176"/>
      <c r="W258" s="173">
        <f>V258/60</f>
        <v>0</v>
      </c>
      <c r="X258" s="176"/>
      <c r="Y258" s="173">
        <f>X258/60</f>
        <v>0</v>
      </c>
      <c r="Z258" s="176"/>
      <c r="AA258" s="173">
        <f>Z258/60</f>
        <v>0</v>
      </c>
      <c r="AB258" s="93"/>
      <c r="AC258" s="248" t="s">
        <v>216</v>
      </c>
      <c r="AD258" s="248" t="s">
        <v>399</v>
      </c>
      <c r="AE258" s="248">
        <v>124</v>
      </c>
      <c r="AF258" s="250">
        <v>768.8</v>
      </c>
      <c r="AG258" s="93"/>
      <c r="AH258" s="248" t="s">
        <v>187</v>
      </c>
      <c r="AI258" s="248" t="s">
        <v>212</v>
      </c>
      <c r="AJ258" s="250">
        <v>37</v>
      </c>
      <c r="AK258" s="250">
        <v>296</v>
      </c>
      <c r="AM258" s="302"/>
    </row>
    <row r="259" spans="1:39" ht="18" thickBot="1" x14ac:dyDescent="0.4">
      <c r="A259" s="511"/>
      <c r="B259" s="358">
        <v>110050</v>
      </c>
      <c r="C259" s="178" t="s">
        <v>274</v>
      </c>
      <c r="D259" s="203">
        <v>95098.28</v>
      </c>
      <c r="E259" s="204">
        <f>D259/60</f>
        <v>1584.9713333333334</v>
      </c>
      <c r="F259" s="297">
        <v>142327.5</v>
      </c>
      <c r="G259" s="281">
        <f>F259/60</f>
        <v>2372.125</v>
      </c>
      <c r="H259" s="175">
        <v>150523.96</v>
      </c>
      <c r="I259" s="281">
        <f>H259/60</f>
        <v>2508.7326666666663</v>
      </c>
      <c r="J259" s="181"/>
      <c r="K259" s="180">
        <f>J259/60</f>
        <v>0</v>
      </c>
      <c r="L259" s="179"/>
      <c r="M259" s="180">
        <f>L259/60</f>
        <v>0</v>
      </c>
      <c r="N259" s="182"/>
      <c r="O259" s="180">
        <f>N259/60</f>
        <v>0</v>
      </c>
      <c r="P259" s="183"/>
      <c r="Q259" s="180">
        <f>P259/60</f>
        <v>0</v>
      </c>
      <c r="R259" s="182"/>
      <c r="S259" s="180">
        <f>R259/60</f>
        <v>0</v>
      </c>
      <c r="T259" s="182"/>
      <c r="U259" s="184">
        <f>T259/60</f>
        <v>0</v>
      </c>
      <c r="V259" s="182"/>
      <c r="W259" s="184">
        <f>V259/60</f>
        <v>0</v>
      </c>
      <c r="X259" s="182"/>
      <c r="Y259" s="184">
        <f>X259/60</f>
        <v>0</v>
      </c>
      <c r="Z259" s="182"/>
      <c r="AA259" s="184">
        <f>Z259/60</f>
        <v>0</v>
      </c>
      <c r="AB259" s="93"/>
      <c r="AC259" s="248" t="s">
        <v>869</v>
      </c>
      <c r="AD259" s="248" t="s">
        <v>399</v>
      </c>
      <c r="AE259" s="248">
        <v>5</v>
      </c>
      <c r="AF259" s="250">
        <v>31</v>
      </c>
      <c r="AG259" s="93"/>
      <c r="AH259" s="248" t="s">
        <v>611</v>
      </c>
      <c r="AI259" s="248" t="s">
        <v>610</v>
      </c>
      <c r="AJ259" s="250">
        <v>14</v>
      </c>
      <c r="AK259" s="250">
        <v>91</v>
      </c>
      <c r="AM259" s="302"/>
    </row>
    <row r="260" spans="1:39" ht="18" thickBot="1" x14ac:dyDescent="0.4">
      <c r="A260" s="511"/>
      <c r="B260" s="358">
        <v>110051</v>
      </c>
      <c r="C260" s="178" t="s">
        <v>276</v>
      </c>
      <c r="D260" s="203">
        <v>55925.482000000004</v>
      </c>
      <c r="E260" s="204">
        <f t="shared" ref="E260:E261" si="31">D260/60</f>
        <v>932.09136666666677</v>
      </c>
      <c r="F260" s="297">
        <v>110164.546</v>
      </c>
      <c r="G260" s="281">
        <f>F260/60</f>
        <v>1836.0757666666666</v>
      </c>
      <c r="H260" s="175">
        <v>96142.494999999995</v>
      </c>
      <c r="I260" s="281">
        <f>H260/60</f>
        <v>1602.3749166666666</v>
      </c>
      <c r="J260" s="181"/>
      <c r="K260" s="180">
        <f>J260/60</f>
        <v>0</v>
      </c>
      <c r="L260" s="179"/>
      <c r="M260" s="180">
        <f>L260/60</f>
        <v>0</v>
      </c>
      <c r="N260" s="182"/>
      <c r="O260" s="180">
        <f>N260/60</f>
        <v>0</v>
      </c>
      <c r="P260" s="183"/>
      <c r="Q260" s="180">
        <f>P260/60</f>
        <v>0</v>
      </c>
      <c r="R260" s="182"/>
      <c r="S260" s="180">
        <f>R260/60</f>
        <v>0</v>
      </c>
      <c r="T260" s="182"/>
      <c r="U260" s="184">
        <f>T260/60</f>
        <v>0</v>
      </c>
      <c r="V260" s="182"/>
      <c r="W260" s="184">
        <f>V260/60</f>
        <v>0</v>
      </c>
      <c r="X260" s="182"/>
      <c r="Y260" s="184">
        <f>X260/60</f>
        <v>0</v>
      </c>
      <c r="Z260" s="182"/>
      <c r="AA260" s="184">
        <f>Z260/60</f>
        <v>0</v>
      </c>
      <c r="AB260" s="93"/>
      <c r="AC260" s="248" t="s">
        <v>215</v>
      </c>
      <c r="AD260" s="248" t="s">
        <v>399</v>
      </c>
      <c r="AE260" s="248">
        <v>10</v>
      </c>
      <c r="AF260" s="250">
        <v>138</v>
      </c>
      <c r="AG260" s="93"/>
      <c r="AH260" s="248" t="s">
        <v>715</v>
      </c>
      <c r="AI260" s="248" t="s">
        <v>716</v>
      </c>
      <c r="AJ260" s="250">
        <v>10</v>
      </c>
      <c r="AK260" s="250">
        <v>50</v>
      </c>
    </row>
    <row r="261" spans="1:39" ht="18" thickBot="1" x14ac:dyDescent="0.4">
      <c r="A261" s="511"/>
      <c r="B261" s="358">
        <v>110015</v>
      </c>
      <c r="C261" s="178" t="s">
        <v>278</v>
      </c>
      <c r="D261" s="203">
        <v>66273.13</v>
      </c>
      <c r="E261" s="204">
        <f t="shared" si="31"/>
        <v>1104.5521666666668</v>
      </c>
      <c r="F261" s="292">
        <v>119406.5</v>
      </c>
      <c r="G261" s="281">
        <f t="shared" ref="G261" si="32">F261/60</f>
        <v>1990.1083333333333</v>
      </c>
      <c r="H261" s="186">
        <v>137329.85</v>
      </c>
      <c r="I261" s="308"/>
      <c r="J261" s="186"/>
      <c r="K261" s="185"/>
      <c r="L261" s="179"/>
      <c r="M261" s="185"/>
      <c r="N261" s="182"/>
      <c r="O261" s="185"/>
      <c r="P261" s="183"/>
      <c r="Q261" s="185"/>
      <c r="R261" s="182"/>
      <c r="S261" s="185"/>
      <c r="T261" s="182"/>
      <c r="U261" s="185"/>
      <c r="V261" s="182"/>
      <c r="W261" s="185"/>
      <c r="X261" s="182"/>
      <c r="Y261" s="185"/>
      <c r="Z261" s="182"/>
      <c r="AA261" s="185"/>
      <c r="AB261" s="93"/>
      <c r="AC261" s="248" t="s">
        <v>870</v>
      </c>
      <c r="AD261" s="248" t="s">
        <v>399</v>
      </c>
      <c r="AE261" s="248">
        <v>8</v>
      </c>
      <c r="AF261" s="250">
        <v>119.2</v>
      </c>
      <c r="AG261" s="93"/>
      <c r="AH261" s="248" t="s">
        <v>717</v>
      </c>
      <c r="AI261" s="248" t="s">
        <v>718</v>
      </c>
      <c r="AJ261" s="250">
        <v>50</v>
      </c>
      <c r="AK261" s="250">
        <v>1155</v>
      </c>
    </row>
    <row r="262" spans="1:39" ht="17.399999999999999" x14ac:dyDescent="0.35">
      <c r="A262" s="511"/>
      <c r="B262" s="358">
        <v>110011</v>
      </c>
      <c r="C262" s="178" t="s">
        <v>281</v>
      </c>
      <c r="D262" s="203">
        <v>36110.400000000001</v>
      </c>
      <c r="E262" s="204">
        <f>D262/60</f>
        <v>601.84</v>
      </c>
      <c r="F262" s="292">
        <v>56314.400000000001</v>
      </c>
      <c r="G262" s="281">
        <f>F262/60</f>
        <v>938.57333333333338</v>
      </c>
      <c r="H262" s="186">
        <v>63351.4</v>
      </c>
      <c r="I262" s="308"/>
      <c r="J262" s="186"/>
      <c r="K262" s="185"/>
      <c r="L262" s="179"/>
      <c r="M262" s="185"/>
      <c r="N262" s="182"/>
      <c r="O262" s="185"/>
      <c r="P262" s="183"/>
      <c r="Q262" s="185"/>
      <c r="R262" s="182"/>
      <c r="S262" s="185"/>
      <c r="T262" s="182"/>
      <c r="U262" s="185"/>
      <c r="V262" s="182"/>
      <c r="W262" s="185"/>
      <c r="X262" s="182"/>
      <c r="Y262" s="185"/>
      <c r="Z262" s="182"/>
      <c r="AA262" s="185"/>
      <c r="AB262" s="93"/>
      <c r="AC262" s="248" t="s">
        <v>764</v>
      </c>
      <c r="AD262" s="248" t="s">
        <v>303</v>
      </c>
      <c r="AE262" s="248">
        <v>28</v>
      </c>
      <c r="AF262" s="250">
        <v>336</v>
      </c>
      <c r="AG262" s="93"/>
      <c r="AH262" s="248" t="s">
        <v>463</v>
      </c>
      <c r="AI262" s="248" t="s">
        <v>464</v>
      </c>
      <c r="AJ262" s="250">
        <v>4</v>
      </c>
      <c r="AK262" s="250">
        <v>24</v>
      </c>
      <c r="AM262" s="302"/>
    </row>
    <row r="263" spans="1:39" ht="17.399999999999999" x14ac:dyDescent="0.35">
      <c r="A263" s="511"/>
      <c r="B263" s="358"/>
      <c r="C263" s="178" t="s">
        <v>283</v>
      </c>
      <c r="D263" s="206">
        <f>SUM(D261:D262)</f>
        <v>102383.53</v>
      </c>
      <c r="E263" s="206">
        <f>D263/60</f>
        <v>1706.3921666666668</v>
      </c>
      <c r="F263" s="298">
        <v>175720.9</v>
      </c>
      <c r="G263" s="281">
        <v>2928.6816666666664</v>
      </c>
      <c r="H263" s="181">
        <f>SUM(H261:H262)</f>
        <v>200681.25</v>
      </c>
      <c r="I263" s="281">
        <f>H263/60</f>
        <v>3344.6875</v>
      </c>
      <c r="J263" s="179"/>
      <c r="K263" s="180">
        <f t="shared" ref="K263:K268" si="33">J263/60</f>
        <v>0</v>
      </c>
      <c r="L263" s="179"/>
      <c r="M263" s="180">
        <f t="shared" ref="M263:M268" si="34">L263/60</f>
        <v>0</v>
      </c>
      <c r="N263" s="179"/>
      <c r="O263" s="180">
        <f t="shared" ref="O263:O268" si="35">N263/60</f>
        <v>0</v>
      </c>
      <c r="P263" s="187"/>
      <c r="Q263" s="180">
        <f t="shared" ref="Q263:Q268" si="36">P263/60</f>
        <v>0</v>
      </c>
      <c r="R263" s="187"/>
      <c r="S263" s="180">
        <f t="shared" ref="S263:S268" si="37">R263/60</f>
        <v>0</v>
      </c>
      <c r="T263" s="187"/>
      <c r="U263" s="180">
        <f t="shared" ref="U263:U268" si="38">T263/60</f>
        <v>0</v>
      </c>
      <c r="V263" s="187"/>
      <c r="W263" s="180">
        <f t="shared" ref="W263:W268" si="39">V263/60</f>
        <v>0</v>
      </c>
      <c r="X263" s="187"/>
      <c r="Y263" s="180">
        <f t="shared" ref="Y263:Y268" si="40">X263/60</f>
        <v>0</v>
      </c>
      <c r="Z263" s="187"/>
      <c r="AA263" s="180">
        <f t="shared" ref="AA263:AA268" si="41">Z263/60</f>
        <v>0</v>
      </c>
      <c r="AB263" s="93"/>
      <c r="AC263" s="248" t="s">
        <v>302</v>
      </c>
      <c r="AD263" s="248" t="s">
        <v>303</v>
      </c>
      <c r="AE263" s="248">
        <v>124</v>
      </c>
      <c r="AF263" s="250">
        <v>1016.8</v>
      </c>
      <c r="AG263" s="93"/>
      <c r="AH263" s="248" t="s">
        <v>345</v>
      </c>
      <c r="AI263" s="248" t="s">
        <v>346</v>
      </c>
      <c r="AJ263" s="250">
        <v>14</v>
      </c>
      <c r="AK263" s="250">
        <v>168</v>
      </c>
      <c r="AM263" s="302"/>
    </row>
    <row r="264" spans="1:39" ht="17.399999999999999" x14ac:dyDescent="0.35">
      <c r="A264" s="511"/>
      <c r="B264" s="358">
        <v>110030</v>
      </c>
      <c r="C264" s="188" t="s">
        <v>285</v>
      </c>
      <c r="D264" s="203">
        <v>74921.38</v>
      </c>
      <c r="E264" s="205">
        <f t="shared" ref="E264:E268" si="42">D264/60</f>
        <v>1248.6896666666667</v>
      </c>
      <c r="F264" s="291">
        <v>61195.6</v>
      </c>
      <c r="G264" s="205">
        <f>F264/60</f>
        <v>1019.9266666666666</v>
      </c>
      <c r="H264" s="181">
        <v>60659.64</v>
      </c>
      <c r="I264" s="205">
        <f t="shared" ref="I264:I268" si="43">H264/60</f>
        <v>1010.994</v>
      </c>
      <c r="J264" s="181"/>
      <c r="K264" s="189"/>
      <c r="L264" s="179"/>
      <c r="M264" s="189">
        <f t="shared" si="34"/>
        <v>0</v>
      </c>
      <c r="N264" s="182"/>
      <c r="O264" s="189">
        <f t="shared" si="35"/>
        <v>0</v>
      </c>
      <c r="P264" s="183"/>
      <c r="Q264" s="189">
        <f t="shared" si="36"/>
        <v>0</v>
      </c>
      <c r="R264" s="182"/>
      <c r="S264" s="189">
        <f t="shared" si="37"/>
        <v>0</v>
      </c>
      <c r="T264" s="182"/>
      <c r="U264" s="189">
        <f t="shared" si="38"/>
        <v>0</v>
      </c>
      <c r="V264" s="182"/>
      <c r="W264" s="189">
        <f t="shared" si="39"/>
        <v>0</v>
      </c>
      <c r="X264" s="182"/>
      <c r="Y264" s="189">
        <f t="shared" si="40"/>
        <v>0</v>
      </c>
      <c r="Z264" s="187"/>
      <c r="AA264" s="189">
        <f t="shared" si="41"/>
        <v>0</v>
      </c>
      <c r="AB264" s="93"/>
      <c r="AC264" s="248" t="s">
        <v>871</v>
      </c>
      <c r="AD264" s="248" t="s">
        <v>303</v>
      </c>
      <c r="AE264" s="248">
        <v>6</v>
      </c>
      <c r="AF264" s="250">
        <v>49.2</v>
      </c>
      <c r="AG264" s="93"/>
      <c r="AH264" s="248" t="s">
        <v>426</v>
      </c>
      <c r="AI264" s="248" t="s">
        <v>327</v>
      </c>
      <c r="AJ264" s="250">
        <v>14</v>
      </c>
      <c r="AK264" s="250">
        <v>88.2</v>
      </c>
    </row>
    <row r="265" spans="1:39" ht="17.399999999999999" x14ac:dyDescent="0.35">
      <c r="A265" s="511"/>
      <c r="B265" s="358">
        <v>110100</v>
      </c>
      <c r="C265" s="188" t="s">
        <v>287</v>
      </c>
      <c r="D265" s="203">
        <v>125435</v>
      </c>
      <c r="E265" s="205">
        <f t="shared" si="42"/>
        <v>2090.5833333333335</v>
      </c>
      <c r="F265" s="291">
        <v>186939</v>
      </c>
      <c r="G265" s="205">
        <f t="shared" ref="G265:G268" si="44">F265/60</f>
        <v>3115.65</v>
      </c>
      <c r="H265" s="181">
        <v>210877</v>
      </c>
      <c r="I265" s="205">
        <f t="shared" si="43"/>
        <v>3514.6166666666668</v>
      </c>
      <c r="J265" s="181"/>
      <c r="K265" s="189">
        <f t="shared" si="33"/>
        <v>0</v>
      </c>
      <c r="L265" s="179"/>
      <c r="M265" s="189">
        <f t="shared" si="34"/>
        <v>0</v>
      </c>
      <c r="N265" s="182"/>
      <c r="O265" s="189">
        <f t="shared" si="35"/>
        <v>0</v>
      </c>
      <c r="P265" s="183"/>
      <c r="Q265" s="189">
        <f t="shared" si="36"/>
        <v>0</v>
      </c>
      <c r="R265" s="182"/>
      <c r="S265" s="189">
        <f t="shared" si="37"/>
        <v>0</v>
      </c>
      <c r="T265" s="182"/>
      <c r="U265" s="189">
        <f t="shared" si="38"/>
        <v>0</v>
      </c>
      <c r="V265" s="182"/>
      <c r="W265" s="189">
        <f t="shared" si="39"/>
        <v>0</v>
      </c>
      <c r="X265" s="182"/>
      <c r="Y265" s="189">
        <f t="shared" si="40"/>
        <v>0</v>
      </c>
      <c r="Z265" s="182"/>
      <c r="AA265" s="189">
        <f t="shared" si="41"/>
        <v>0</v>
      </c>
      <c r="AB265" s="93"/>
      <c r="AC265" s="248" t="s">
        <v>304</v>
      </c>
      <c r="AD265" s="248" t="s">
        <v>303</v>
      </c>
      <c r="AE265" s="248">
        <v>10</v>
      </c>
      <c r="AF265" s="250">
        <v>163</v>
      </c>
      <c r="AG265" s="93"/>
      <c r="AH265" s="248" t="s">
        <v>390</v>
      </c>
      <c r="AI265" s="248" t="s">
        <v>391</v>
      </c>
      <c r="AJ265" s="250">
        <v>19</v>
      </c>
      <c r="AK265" s="250">
        <v>285</v>
      </c>
    </row>
    <row r="266" spans="1:39" ht="17.399999999999999" x14ac:dyDescent="0.35">
      <c r="A266" s="511"/>
      <c r="B266" s="358">
        <v>110110</v>
      </c>
      <c r="C266" s="190" t="s">
        <v>289</v>
      </c>
      <c r="D266" s="203">
        <v>291894</v>
      </c>
      <c r="E266" s="205">
        <f t="shared" si="42"/>
        <v>4864.8999999999996</v>
      </c>
      <c r="F266" s="291">
        <v>468510</v>
      </c>
      <c r="G266" s="205">
        <f t="shared" si="44"/>
        <v>7808.5</v>
      </c>
      <c r="H266" s="194">
        <v>561192</v>
      </c>
      <c r="I266" s="309">
        <f t="shared" si="43"/>
        <v>9353.2000000000007</v>
      </c>
      <c r="J266" s="194"/>
      <c r="K266" s="193">
        <f t="shared" si="33"/>
        <v>0</v>
      </c>
      <c r="L266" s="192"/>
      <c r="M266" s="193">
        <f t="shared" si="34"/>
        <v>0</v>
      </c>
      <c r="N266" s="191"/>
      <c r="O266" s="193">
        <f t="shared" si="35"/>
        <v>0</v>
      </c>
      <c r="P266" s="195"/>
      <c r="Q266" s="193">
        <f t="shared" si="36"/>
        <v>0</v>
      </c>
      <c r="R266" s="191"/>
      <c r="S266" s="193">
        <f t="shared" si="37"/>
        <v>0</v>
      </c>
      <c r="T266" s="191"/>
      <c r="U266" s="193">
        <f t="shared" si="38"/>
        <v>0</v>
      </c>
      <c r="V266" s="191"/>
      <c r="W266" s="193">
        <f t="shared" si="39"/>
        <v>0</v>
      </c>
      <c r="X266" s="191"/>
      <c r="Y266" s="193">
        <f t="shared" si="40"/>
        <v>0</v>
      </c>
      <c r="Z266" s="191"/>
      <c r="AA266" s="193">
        <f t="shared" si="41"/>
        <v>0</v>
      </c>
      <c r="AB266" s="93"/>
      <c r="AC266" s="248" t="s">
        <v>872</v>
      </c>
      <c r="AD266" s="248" t="s">
        <v>303</v>
      </c>
      <c r="AE266" s="248">
        <v>9</v>
      </c>
      <c r="AF266" s="250">
        <v>132.30000000000001</v>
      </c>
      <c r="AG266" s="93"/>
      <c r="AH266" s="248" t="s">
        <v>446</v>
      </c>
      <c r="AI266" s="248" t="s">
        <v>447</v>
      </c>
      <c r="AJ266" s="250">
        <v>14</v>
      </c>
      <c r="AK266" s="250">
        <v>88.2</v>
      </c>
    </row>
    <row r="267" spans="1:39" ht="17.399999999999999" x14ac:dyDescent="0.35">
      <c r="A267" s="511"/>
      <c r="B267" s="358">
        <v>110060</v>
      </c>
      <c r="C267" s="190" t="s">
        <v>291</v>
      </c>
      <c r="D267" s="203">
        <v>31265.64</v>
      </c>
      <c r="E267" s="205">
        <f t="shared" si="42"/>
        <v>521.09399999999994</v>
      </c>
      <c r="F267" s="293">
        <v>51495.199999999997</v>
      </c>
      <c r="G267" s="205">
        <f t="shared" si="44"/>
        <v>858.25333333333333</v>
      </c>
      <c r="H267" s="181">
        <v>61745.94</v>
      </c>
      <c r="I267" s="309">
        <f t="shared" si="43"/>
        <v>1029.0989999999999</v>
      </c>
      <c r="J267" s="179"/>
      <c r="K267" s="193">
        <f t="shared" si="33"/>
        <v>0</v>
      </c>
      <c r="L267" s="179"/>
      <c r="M267" s="193">
        <f t="shared" si="34"/>
        <v>0</v>
      </c>
      <c r="N267" s="179"/>
      <c r="O267" s="193">
        <f t="shared" si="35"/>
        <v>0</v>
      </c>
      <c r="P267" s="187"/>
      <c r="Q267" s="193">
        <f t="shared" si="36"/>
        <v>0</v>
      </c>
      <c r="R267" s="255"/>
      <c r="S267" s="193">
        <f t="shared" si="37"/>
        <v>0</v>
      </c>
      <c r="T267" s="259"/>
      <c r="U267" s="193">
        <f t="shared" si="38"/>
        <v>0</v>
      </c>
      <c r="V267" s="255"/>
      <c r="W267" s="193">
        <f t="shared" si="39"/>
        <v>0</v>
      </c>
      <c r="X267" s="270"/>
      <c r="Y267" s="271">
        <f t="shared" si="40"/>
        <v>0</v>
      </c>
      <c r="Z267" s="270"/>
      <c r="AA267" s="189">
        <f t="shared" si="41"/>
        <v>0</v>
      </c>
      <c r="AB267" s="93"/>
      <c r="AC267" s="248" t="s">
        <v>873</v>
      </c>
      <c r="AD267" s="248" t="s">
        <v>874</v>
      </c>
      <c r="AE267" s="248">
        <v>8</v>
      </c>
      <c r="AF267" s="250">
        <v>24</v>
      </c>
      <c r="AG267" s="93"/>
      <c r="AH267" s="248" t="s">
        <v>465</v>
      </c>
      <c r="AI267" s="248" t="s">
        <v>328</v>
      </c>
      <c r="AJ267" s="250">
        <v>14</v>
      </c>
      <c r="AK267" s="250">
        <v>168</v>
      </c>
    </row>
    <row r="268" spans="1:39" ht="18" thickBot="1" x14ac:dyDescent="0.4">
      <c r="A268" s="511"/>
      <c r="B268" s="361">
        <v>110111</v>
      </c>
      <c r="C268" s="196" t="s">
        <v>292</v>
      </c>
      <c r="D268" s="203">
        <v>70826</v>
      </c>
      <c r="E268" s="205">
        <f t="shared" si="42"/>
        <v>1180.4333333333334</v>
      </c>
      <c r="F268" s="291">
        <v>74846</v>
      </c>
      <c r="G268" s="205">
        <f t="shared" si="44"/>
        <v>1247.4333333333334</v>
      </c>
      <c r="H268" s="307">
        <v>117541</v>
      </c>
      <c r="I268" s="310">
        <f t="shared" si="43"/>
        <v>1959.0166666666667</v>
      </c>
      <c r="J268" s="197"/>
      <c r="K268" s="198">
        <f t="shared" si="33"/>
        <v>0</v>
      </c>
      <c r="L268" s="197"/>
      <c r="M268" s="198">
        <f t="shared" si="34"/>
        <v>0</v>
      </c>
      <c r="N268" s="197"/>
      <c r="O268" s="198">
        <f t="shared" si="35"/>
        <v>0</v>
      </c>
      <c r="P268" s="199"/>
      <c r="Q268" s="198">
        <f t="shared" si="36"/>
        <v>0</v>
      </c>
      <c r="R268" s="200"/>
      <c r="S268" s="198">
        <f t="shared" si="37"/>
        <v>0</v>
      </c>
      <c r="T268" s="201"/>
      <c r="U268" s="198">
        <f t="shared" si="38"/>
        <v>0</v>
      </c>
      <c r="V268" s="200"/>
      <c r="W268" s="198">
        <f t="shared" si="39"/>
        <v>0</v>
      </c>
      <c r="X268" s="200"/>
      <c r="Y268" s="202">
        <f t="shared" si="40"/>
        <v>0</v>
      </c>
      <c r="Z268" s="200"/>
      <c r="AA268" s="198">
        <f t="shared" si="41"/>
        <v>0</v>
      </c>
      <c r="AB268" s="93"/>
      <c r="AC268" s="248" t="s">
        <v>875</v>
      </c>
      <c r="AD268" s="248" t="s">
        <v>403</v>
      </c>
      <c r="AE268" s="248">
        <v>4</v>
      </c>
      <c r="AF268" s="250">
        <v>328</v>
      </c>
      <c r="AG268" s="93"/>
      <c r="AH268" s="248" t="s">
        <v>466</v>
      </c>
      <c r="AI268" s="248" t="s">
        <v>467</v>
      </c>
      <c r="AJ268" s="250">
        <v>9</v>
      </c>
      <c r="AK268" s="250">
        <v>72.45</v>
      </c>
    </row>
    <row r="269" spans="1:39" x14ac:dyDescent="0.3">
      <c r="A269" s="511"/>
      <c r="B269" s="93"/>
      <c r="C269" s="93"/>
      <c r="D269" s="93"/>
      <c r="E269" s="93"/>
      <c r="F269" s="286"/>
      <c r="G269" s="93"/>
      <c r="H269" s="208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252"/>
      <c r="U269" s="93"/>
      <c r="V269" s="93"/>
      <c r="W269" s="93"/>
      <c r="X269" s="93"/>
      <c r="Y269" s="93"/>
      <c r="Z269" s="93"/>
      <c r="AA269" s="93"/>
      <c r="AB269" s="93"/>
      <c r="AC269" s="248" t="s">
        <v>876</v>
      </c>
      <c r="AD269" s="248" t="s">
        <v>403</v>
      </c>
      <c r="AE269" s="248">
        <v>8</v>
      </c>
      <c r="AF269" s="250">
        <v>826</v>
      </c>
      <c r="AG269" s="93"/>
      <c r="AH269" s="248" t="s">
        <v>427</v>
      </c>
      <c r="AI269" s="248" t="s">
        <v>428</v>
      </c>
      <c r="AJ269" s="250">
        <v>14</v>
      </c>
      <c r="AK269" s="250">
        <v>35</v>
      </c>
    </row>
    <row r="270" spans="1:39" x14ac:dyDescent="0.3">
      <c r="A270" s="511"/>
      <c r="B270" s="93"/>
      <c r="C270" s="93"/>
      <c r="D270" s="93"/>
      <c r="E270" s="93"/>
      <c r="F270" s="286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252"/>
      <c r="U270" s="93"/>
      <c r="V270" s="93"/>
      <c r="W270" s="93"/>
      <c r="X270" s="93"/>
      <c r="Y270" s="93"/>
      <c r="Z270" s="93"/>
      <c r="AA270" s="93"/>
      <c r="AB270" s="93"/>
      <c r="AC270" s="248" t="s">
        <v>877</v>
      </c>
      <c r="AD270" s="248" t="s">
        <v>403</v>
      </c>
      <c r="AE270" s="248">
        <v>12</v>
      </c>
      <c r="AF270" s="250">
        <v>504</v>
      </c>
      <c r="AG270" s="93"/>
      <c r="AH270" s="248" t="s">
        <v>468</v>
      </c>
      <c r="AI270" s="248" t="s">
        <v>469</v>
      </c>
      <c r="AJ270" s="250">
        <v>28</v>
      </c>
      <c r="AK270" s="250">
        <v>70</v>
      </c>
    </row>
    <row r="271" spans="1:39" x14ac:dyDescent="0.3">
      <c r="A271" s="511"/>
      <c r="B271" s="93"/>
      <c r="C271" s="93"/>
      <c r="D271" s="93"/>
      <c r="E271" s="93"/>
      <c r="F271" s="286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252"/>
      <c r="U271" s="93"/>
      <c r="V271" s="93"/>
      <c r="W271" s="93"/>
      <c r="X271" s="93"/>
      <c r="Y271" s="93"/>
      <c r="Z271" s="93"/>
      <c r="AA271" s="93"/>
      <c r="AB271" s="93"/>
      <c r="AC271" s="248" t="s">
        <v>878</v>
      </c>
      <c r="AD271" s="248" t="s">
        <v>403</v>
      </c>
      <c r="AE271" s="248">
        <v>2</v>
      </c>
      <c r="AF271" s="250">
        <v>12</v>
      </c>
      <c r="AG271" s="93"/>
      <c r="AH271" s="248" t="s">
        <v>516</v>
      </c>
      <c r="AI271" s="248" t="s">
        <v>517</v>
      </c>
      <c r="AJ271" s="250">
        <v>20</v>
      </c>
      <c r="AK271" s="250">
        <v>4907</v>
      </c>
    </row>
    <row r="272" spans="1:39" x14ac:dyDescent="0.3">
      <c r="A272" s="511"/>
      <c r="B272" s="93"/>
      <c r="C272" s="93"/>
      <c r="D272" s="93"/>
      <c r="E272" s="93"/>
      <c r="F272" s="286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252"/>
      <c r="U272" s="93"/>
      <c r="V272" s="93"/>
      <c r="W272" s="93"/>
      <c r="X272" s="93"/>
      <c r="Y272" s="93"/>
      <c r="Z272" s="93"/>
      <c r="AA272" s="93"/>
      <c r="AB272" s="93"/>
      <c r="AC272" s="248" t="s">
        <v>432</v>
      </c>
      <c r="AD272" s="248" t="s">
        <v>561</v>
      </c>
      <c r="AE272" s="248">
        <v>5</v>
      </c>
      <c r="AF272" s="250">
        <v>705</v>
      </c>
      <c r="AG272" s="93"/>
      <c r="AH272" s="248" t="s">
        <v>552</v>
      </c>
      <c r="AI272" s="248" t="s">
        <v>553</v>
      </c>
      <c r="AJ272" s="250">
        <v>44</v>
      </c>
      <c r="AK272" s="250">
        <v>131</v>
      </c>
    </row>
    <row r="273" spans="1:39" x14ac:dyDescent="0.3">
      <c r="A273" s="511"/>
      <c r="B273" s="93"/>
      <c r="C273" s="93"/>
      <c r="D273" s="93"/>
      <c r="E273" s="93"/>
      <c r="F273" s="286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252"/>
      <c r="U273" s="93"/>
      <c r="V273" s="93"/>
      <c r="W273" s="93"/>
      <c r="X273" s="93"/>
      <c r="Y273" s="93"/>
      <c r="Z273" s="93"/>
      <c r="AA273" s="93"/>
      <c r="AB273" s="93"/>
      <c r="AC273" s="248" t="s">
        <v>433</v>
      </c>
      <c r="AD273" s="248" t="s">
        <v>434</v>
      </c>
      <c r="AE273" s="248">
        <v>14</v>
      </c>
      <c r="AF273" s="250">
        <v>35</v>
      </c>
      <c r="AG273" s="93"/>
      <c r="AH273" s="248" t="s">
        <v>852</v>
      </c>
      <c r="AI273" s="248" t="s">
        <v>726</v>
      </c>
      <c r="AJ273" s="250">
        <v>16</v>
      </c>
      <c r="AK273" s="250">
        <v>786.4</v>
      </c>
    </row>
    <row r="274" spans="1:39" x14ac:dyDescent="0.3">
      <c r="A274" s="511"/>
      <c r="B274" s="93"/>
      <c r="C274" s="93"/>
      <c r="D274" s="93"/>
      <c r="E274" s="93"/>
      <c r="F274" s="286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252"/>
      <c r="U274" s="93"/>
      <c r="V274" s="93"/>
      <c r="W274" s="93"/>
      <c r="X274" s="93"/>
      <c r="Y274" s="93"/>
      <c r="Z274" s="93"/>
      <c r="AA274" s="93"/>
      <c r="AB274" s="93"/>
      <c r="AC274" s="248" t="s">
        <v>404</v>
      </c>
      <c r="AD274" s="248" t="s">
        <v>405</v>
      </c>
      <c r="AE274" s="248">
        <v>14</v>
      </c>
      <c r="AF274" s="250">
        <v>196</v>
      </c>
      <c r="AG274" s="93"/>
      <c r="AH274" s="248" t="s">
        <v>725</v>
      </c>
      <c r="AI274" s="248" t="s">
        <v>726</v>
      </c>
      <c r="AJ274" s="250">
        <v>20</v>
      </c>
      <c r="AK274" s="250">
        <v>336</v>
      </c>
      <c r="AM274" s="302"/>
    </row>
    <row r="275" spans="1:39" ht="15" thickBot="1" x14ac:dyDescent="0.35">
      <c r="A275" s="512"/>
      <c r="B275" s="93"/>
      <c r="C275" s="93"/>
      <c r="D275" s="93"/>
      <c r="E275" s="93"/>
      <c r="F275" s="286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248" t="s">
        <v>408</v>
      </c>
      <c r="AD275" s="248" t="s">
        <v>409</v>
      </c>
      <c r="AE275" s="248">
        <v>24</v>
      </c>
      <c r="AF275" s="250">
        <v>96</v>
      </c>
      <c r="AG275" s="93"/>
      <c r="AH275" s="248" t="s">
        <v>730</v>
      </c>
      <c r="AI275" s="248" t="s">
        <v>731</v>
      </c>
      <c r="AJ275" s="250">
        <v>7</v>
      </c>
      <c r="AK275" s="250">
        <v>49</v>
      </c>
      <c r="AM275" s="302"/>
    </row>
    <row r="276" spans="1:39" x14ac:dyDescent="0.3">
      <c r="A276" s="273"/>
      <c r="B276" s="93"/>
      <c r="C276" s="93"/>
      <c r="D276" s="93"/>
      <c r="E276" s="93"/>
      <c r="F276" s="286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248" t="s">
        <v>782</v>
      </c>
      <c r="AD276" s="248" t="s">
        <v>313</v>
      </c>
      <c r="AE276" s="248">
        <v>20</v>
      </c>
      <c r="AF276" s="250">
        <v>70</v>
      </c>
      <c r="AH276" s="248" t="s">
        <v>410</v>
      </c>
      <c r="AI276" s="248" t="s">
        <v>411</v>
      </c>
      <c r="AJ276" s="248">
        <v>12</v>
      </c>
      <c r="AK276" s="250">
        <v>48</v>
      </c>
    </row>
    <row r="277" spans="1:39" x14ac:dyDescent="0.3">
      <c r="A277" s="273"/>
      <c r="B277" s="93"/>
      <c r="C277" s="93"/>
      <c r="D277" s="93"/>
      <c r="E277" s="93"/>
      <c r="F277" s="286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248" t="s">
        <v>879</v>
      </c>
      <c r="AD277" s="248" t="s">
        <v>313</v>
      </c>
      <c r="AE277" s="248">
        <v>16</v>
      </c>
      <c r="AF277" s="250">
        <v>216</v>
      </c>
      <c r="AH277" s="248" t="s">
        <v>449</v>
      </c>
      <c r="AI277" s="248" t="s">
        <v>450</v>
      </c>
      <c r="AJ277" s="248">
        <v>14</v>
      </c>
      <c r="AK277" s="250">
        <v>602</v>
      </c>
    </row>
    <row r="278" spans="1:39" x14ac:dyDescent="0.3">
      <c r="A278" s="273"/>
      <c r="B278" s="93"/>
      <c r="C278" s="93"/>
      <c r="D278" s="93"/>
      <c r="E278" s="93"/>
      <c r="F278" s="286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248" t="s">
        <v>314</v>
      </c>
      <c r="AD278" s="248" t="s">
        <v>313</v>
      </c>
      <c r="AE278" s="248">
        <v>20</v>
      </c>
      <c r="AF278" s="250">
        <v>40</v>
      </c>
      <c r="AH278" s="248" t="s">
        <v>451</v>
      </c>
      <c r="AI278" s="248" t="s">
        <v>452</v>
      </c>
      <c r="AJ278" s="248">
        <v>25</v>
      </c>
      <c r="AK278" s="250">
        <v>212.5</v>
      </c>
    </row>
    <row r="279" spans="1:39" x14ac:dyDescent="0.3">
      <c r="A279" s="273"/>
      <c r="B279" s="93"/>
      <c r="C279" s="93"/>
      <c r="D279" s="93"/>
      <c r="E279" s="93"/>
      <c r="F279" s="286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248" t="s">
        <v>371</v>
      </c>
      <c r="AD279" s="248" t="s">
        <v>313</v>
      </c>
      <c r="AE279" s="248">
        <v>24</v>
      </c>
      <c r="AF279" s="250">
        <v>88.8</v>
      </c>
      <c r="AH279" s="248" t="s">
        <v>505</v>
      </c>
      <c r="AI279" s="248" t="s">
        <v>506</v>
      </c>
      <c r="AJ279" s="248">
        <v>5</v>
      </c>
      <c r="AK279" s="250">
        <v>375</v>
      </c>
    </row>
    <row r="280" spans="1:39" x14ac:dyDescent="0.3">
      <c r="A280" s="273"/>
      <c r="B280" s="93"/>
      <c r="C280" s="93"/>
      <c r="D280" s="93"/>
      <c r="E280" s="93"/>
      <c r="F280" s="286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248" t="s">
        <v>880</v>
      </c>
      <c r="AD280" s="248" t="s">
        <v>313</v>
      </c>
      <c r="AE280" s="248">
        <v>1</v>
      </c>
      <c r="AF280" s="250">
        <v>3.5</v>
      </c>
      <c r="AH280" s="248" t="s">
        <v>562</v>
      </c>
      <c r="AI280" s="248" t="s">
        <v>563</v>
      </c>
      <c r="AJ280" s="248">
        <v>13</v>
      </c>
      <c r="AK280" s="250">
        <v>32.5</v>
      </c>
    </row>
    <row r="281" spans="1:39" x14ac:dyDescent="0.3">
      <c r="A281" s="273"/>
      <c r="B281" s="93"/>
      <c r="C281" s="93"/>
      <c r="D281" s="93"/>
      <c r="E281" s="93"/>
      <c r="F281" s="286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248" t="s">
        <v>881</v>
      </c>
      <c r="AD281" s="248" t="s">
        <v>313</v>
      </c>
      <c r="AE281" s="248">
        <v>8</v>
      </c>
      <c r="AF281" s="250">
        <v>19.7</v>
      </c>
      <c r="AH281" s="248" t="s">
        <v>443</v>
      </c>
      <c r="AI281" s="248" t="s">
        <v>444</v>
      </c>
      <c r="AJ281" s="248">
        <v>15</v>
      </c>
      <c r="AK281" s="250">
        <v>142.5</v>
      </c>
    </row>
    <row r="282" spans="1:39" x14ac:dyDescent="0.3">
      <c r="A282" s="273"/>
      <c r="B282" s="93"/>
      <c r="C282" s="93"/>
      <c r="D282" s="93"/>
      <c r="E282" s="93"/>
      <c r="F282" s="286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248" t="s">
        <v>785</v>
      </c>
      <c r="AD282" s="248" t="s">
        <v>313</v>
      </c>
      <c r="AE282" s="248">
        <v>20</v>
      </c>
      <c r="AF282" s="250">
        <v>73</v>
      </c>
      <c r="AH282" s="248" t="s">
        <v>507</v>
      </c>
      <c r="AI282" s="248" t="s">
        <v>453</v>
      </c>
      <c r="AJ282" s="248">
        <v>82</v>
      </c>
      <c r="AK282" s="250">
        <v>1968</v>
      </c>
    </row>
    <row r="283" spans="1:39" x14ac:dyDescent="0.3">
      <c r="A283" s="273"/>
      <c r="B283" s="93"/>
      <c r="C283" s="93"/>
      <c r="D283" s="93"/>
      <c r="E283" s="93"/>
      <c r="F283" s="286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248" t="s">
        <v>176</v>
      </c>
      <c r="AD283" s="248" t="s">
        <v>313</v>
      </c>
      <c r="AE283" s="248">
        <v>5</v>
      </c>
      <c r="AF283" s="250">
        <v>36.5</v>
      </c>
      <c r="AH283" s="248" t="s">
        <v>882</v>
      </c>
      <c r="AI283" s="248" t="s">
        <v>453</v>
      </c>
      <c r="AJ283" s="248">
        <v>9</v>
      </c>
      <c r="AK283" s="250">
        <v>567</v>
      </c>
    </row>
    <row r="284" spans="1:39" x14ac:dyDescent="0.3">
      <c r="A284" s="273"/>
      <c r="B284" s="93"/>
      <c r="C284" s="93"/>
      <c r="D284" s="93"/>
      <c r="E284" s="93"/>
      <c r="F284" s="286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248" t="s">
        <v>787</v>
      </c>
      <c r="AD284" s="248" t="s">
        <v>313</v>
      </c>
      <c r="AE284" s="248">
        <v>36</v>
      </c>
      <c r="AF284" s="250">
        <v>175.8</v>
      </c>
      <c r="AH284" s="248" t="s">
        <v>883</v>
      </c>
      <c r="AI284" s="248" t="s">
        <v>884</v>
      </c>
      <c r="AJ284" s="248">
        <v>8</v>
      </c>
      <c r="AK284" s="250">
        <v>80</v>
      </c>
    </row>
    <row r="285" spans="1:39" x14ac:dyDescent="0.3">
      <c r="A285" s="273"/>
      <c r="B285" s="93"/>
      <c r="C285" s="93"/>
      <c r="D285" s="93"/>
      <c r="E285" s="93"/>
      <c r="F285" s="286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248" t="s">
        <v>788</v>
      </c>
      <c r="AD285" s="248" t="s">
        <v>313</v>
      </c>
      <c r="AE285" s="248">
        <v>8</v>
      </c>
      <c r="AF285" s="250">
        <v>30.3</v>
      </c>
      <c r="AH285" s="248" t="s">
        <v>885</v>
      </c>
      <c r="AI285" s="248" t="s">
        <v>886</v>
      </c>
      <c r="AJ285" s="248">
        <v>10</v>
      </c>
      <c r="AK285" s="250">
        <v>100</v>
      </c>
    </row>
    <row r="286" spans="1:39" x14ac:dyDescent="0.3">
      <c r="A286" s="273"/>
      <c r="B286" s="93"/>
      <c r="C286" s="93"/>
      <c r="D286" s="93"/>
      <c r="E286" s="93"/>
      <c r="F286" s="286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248" t="s">
        <v>891</v>
      </c>
      <c r="AD286" s="248" t="s">
        <v>892</v>
      </c>
      <c r="AE286" s="248">
        <v>2</v>
      </c>
      <c r="AF286" s="250">
        <v>24</v>
      </c>
      <c r="AH286" s="248" t="s">
        <v>887</v>
      </c>
      <c r="AI286" s="248" t="s">
        <v>886</v>
      </c>
      <c r="AJ286" s="248">
        <v>7</v>
      </c>
      <c r="AK286" s="250">
        <v>70</v>
      </c>
    </row>
    <row r="287" spans="1:39" x14ac:dyDescent="0.3">
      <c r="A287" s="273"/>
      <c r="B287" s="93"/>
      <c r="C287" s="93"/>
      <c r="D287" s="93"/>
      <c r="E287" s="93"/>
      <c r="F287" s="286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248" t="s">
        <v>414</v>
      </c>
      <c r="AD287" s="248" t="s">
        <v>415</v>
      </c>
      <c r="AE287" s="248">
        <v>14</v>
      </c>
      <c r="AF287" s="250">
        <v>126</v>
      </c>
      <c r="AH287" s="248" t="s">
        <v>888</v>
      </c>
      <c r="AI287" s="248" t="s">
        <v>889</v>
      </c>
      <c r="AJ287" s="248">
        <v>10</v>
      </c>
      <c r="AK287" s="250">
        <v>100</v>
      </c>
    </row>
    <row r="288" spans="1:39" x14ac:dyDescent="0.3">
      <c r="A288" s="273"/>
      <c r="B288" s="93"/>
      <c r="C288" s="93"/>
      <c r="D288" s="93"/>
      <c r="E288" s="93"/>
      <c r="F288" s="286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248" t="s">
        <v>508</v>
      </c>
      <c r="AD288" s="248" t="s">
        <v>509</v>
      </c>
      <c r="AE288" s="248">
        <v>14</v>
      </c>
      <c r="AF288" s="250">
        <v>140</v>
      </c>
      <c r="AH288" s="248" t="s">
        <v>890</v>
      </c>
      <c r="AI288" s="248" t="s">
        <v>889</v>
      </c>
      <c r="AJ288" s="248">
        <v>9</v>
      </c>
      <c r="AK288" s="250">
        <v>382.5</v>
      </c>
    </row>
    <row r="289" spans="1:37" x14ac:dyDescent="0.3">
      <c r="A289" s="273"/>
      <c r="B289" s="93"/>
      <c r="C289" s="93"/>
      <c r="D289" s="93"/>
      <c r="E289" s="93"/>
      <c r="F289" s="286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248" t="s">
        <v>373</v>
      </c>
      <c r="AD289" s="248" t="s">
        <v>374</v>
      </c>
      <c r="AE289" s="248">
        <v>14</v>
      </c>
      <c r="AF289" s="250">
        <v>116.2</v>
      </c>
      <c r="AH289" s="248" t="s">
        <v>375</v>
      </c>
      <c r="AI289" s="248" t="s">
        <v>376</v>
      </c>
      <c r="AJ289" s="248">
        <v>14</v>
      </c>
      <c r="AK289" s="250">
        <v>126</v>
      </c>
    </row>
    <row r="290" spans="1:37" x14ac:dyDescent="0.3">
      <c r="A290" s="273"/>
      <c r="B290" s="93"/>
      <c r="C290" s="93"/>
      <c r="D290" s="93"/>
      <c r="E290" s="93"/>
      <c r="F290" s="286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</row>
    <row r="291" spans="1:37" x14ac:dyDescent="0.3">
      <c r="A291" s="273"/>
      <c r="B291" s="93"/>
      <c r="C291" s="93"/>
      <c r="D291" s="93"/>
      <c r="E291" s="93"/>
      <c r="F291" s="286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</row>
    <row r="292" spans="1:37" x14ac:dyDescent="0.3">
      <c r="A292" s="273"/>
      <c r="B292" s="93"/>
      <c r="C292" s="93"/>
      <c r="D292" s="93"/>
      <c r="E292" s="93"/>
      <c r="F292" s="286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</row>
    <row r="293" spans="1:37" x14ac:dyDescent="0.3">
      <c r="A293" s="273"/>
      <c r="B293" s="93"/>
      <c r="C293" s="93"/>
      <c r="D293" s="93"/>
      <c r="E293" s="93"/>
      <c r="F293" s="286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</row>
    <row r="294" spans="1:37" ht="15" thickBot="1" x14ac:dyDescent="0.35">
      <c r="A294" s="274"/>
      <c r="B294" s="96"/>
      <c r="C294" s="96"/>
      <c r="D294" s="96"/>
      <c r="E294" s="96"/>
      <c r="F294" s="295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</row>
    <row r="295" spans="1:37" ht="24" thickBot="1" x14ac:dyDescent="0.35">
      <c r="A295" s="510" t="s">
        <v>903</v>
      </c>
      <c r="B295" s="528" t="s">
        <v>156</v>
      </c>
      <c r="C295" s="528"/>
      <c r="D295" s="528"/>
      <c r="E295" s="529"/>
      <c r="F295" s="285"/>
      <c r="G295" s="513" t="s">
        <v>157</v>
      </c>
      <c r="H295" s="514"/>
      <c r="I295" s="514"/>
      <c r="J295" s="515"/>
      <c r="K295" s="246"/>
      <c r="L295" s="519" t="s">
        <v>158</v>
      </c>
      <c r="M295" s="520"/>
      <c r="N295" s="520"/>
      <c r="O295" s="521"/>
      <c r="P295" s="247"/>
      <c r="Q295" s="519" t="s">
        <v>159</v>
      </c>
      <c r="R295" s="520"/>
      <c r="S295" s="520"/>
      <c r="T295" s="521"/>
      <c r="U295" s="246"/>
      <c r="V295" s="519" t="s">
        <v>160</v>
      </c>
      <c r="W295" s="520"/>
      <c r="X295" s="520"/>
      <c r="Y295" s="521"/>
      <c r="Z295" s="246"/>
      <c r="AA295" s="246"/>
      <c r="AC295" s="516" t="s">
        <v>161</v>
      </c>
      <c r="AD295" s="517"/>
      <c r="AE295" s="517"/>
      <c r="AF295" s="518"/>
      <c r="AG295" s="246"/>
      <c r="AH295" s="516" t="s">
        <v>161</v>
      </c>
      <c r="AI295" s="517"/>
      <c r="AJ295" s="517"/>
      <c r="AK295" s="518"/>
    </row>
    <row r="296" spans="1:37" x14ac:dyDescent="0.3">
      <c r="A296" s="511"/>
      <c r="B296" s="91" t="s">
        <v>454</v>
      </c>
      <c r="C296" s="337" t="s">
        <v>455</v>
      </c>
      <c r="D296" s="338">
        <v>46256</v>
      </c>
      <c r="E296" s="337">
        <v>14</v>
      </c>
      <c r="F296" s="286"/>
      <c r="G296" s="335" t="s">
        <v>629</v>
      </c>
      <c r="H296" s="335" t="s">
        <v>630</v>
      </c>
      <c r="I296" s="336">
        <v>6582</v>
      </c>
      <c r="J296" s="335">
        <v>3</v>
      </c>
      <c r="K296" s="93"/>
      <c r="L296" s="337" t="s">
        <v>182</v>
      </c>
      <c r="M296" s="337" t="s">
        <v>165</v>
      </c>
      <c r="N296" s="339">
        <v>9575</v>
      </c>
      <c r="O296" s="337">
        <v>15</v>
      </c>
      <c r="P296" s="93"/>
      <c r="Q296" s="337" t="s">
        <v>319</v>
      </c>
      <c r="R296" s="337" t="s">
        <v>320</v>
      </c>
      <c r="S296" s="339">
        <v>26376</v>
      </c>
      <c r="T296" s="337">
        <v>21</v>
      </c>
      <c r="U296" s="93"/>
      <c r="V296" s="337" t="s">
        <v>908</v>
      </c>
      <c r="W296" s="337" t="s">
        <v>652</v>
      </c>
      <c r="X296" s="339">
        <v>7700</v>
      </c>
      <c r="Y296" s="337">
        <v>2</v>
      </c>
      <c r="Z296" s="93"/>
      <c r="AA296" s="93"/>
      <c r="AC296" s="335" t="s">
        <v>906</v>
      </c>
      <c r="AD296" s="335" t="s">
        <v>907</v>
      </c>
      <c r="AE296" s="335">
        <v>347.2</v>
      </c>
      <c r="AF296" s="336">
        <v>62</v>
      </c>
      <c r="AG296" s="93"/>
      <c r="AH296" s="337" t="s">
        <v>396</v>
      </c>
      <c r="AI296" s="337" t="s">
        <v>242</v>
      </c>
      <c r="AJ296" s="337">
        <v>504</v>
      </c>
      <c r="AK296" s="337">
        <v>9</v>
      </c>
    </row>
    <row r="297" spans="1:37" x14ac:dyDescent="0.3">
      <c r="A297" s="511"/>
      <c r="B297" s="209" t="s">
        <v>179</v>
      </c>
      <c r="C297" s="337" t="s">
        <v>162</v>
      </c>
      <c r="D297" s="338">
        <v>35788</v>
      </c>
      <c r="E297" s="337">
        <v>23</v>
      </c>
      <c r="F297" s="286"/>
      <c r="G297" s="337" t="s">
        <v>631</v>
      </c>
      <c r="H297" s="337" t="s">
        <v>630</v>
      </c>
      <c r="I297" s="338">
        <v>2194</v>
      </c>
      <c r="J297" s="337">
        <v>1</v>
      </c>
      <c r="K297" s="93"/>
      <c r="L297" s="337" t="s">
        <v>808</v>
      </c>
      <c r="M297" s="337" t="s">
        <v>165</v>
      </c>
      <c r="N297" s="339">
        <v>1306</v>
      </c>
      <c r="O297" s="337">
        <v>2</v>
      </c>
      <c r="P297" s="93"/>
      <c r="Q297" s="337" t="s">
        <v>166</v>
      </c>
      <c r="R297" s="337" t="s">
        <v>167</v>
      </c>
      <c r="S297" s="339">
        <v>28443</v>
      </c>
      <c r="T297" s="337">
        <v>19</v>
      </c>
      <c r="U297" s="93"/>
      <c r="V297" s="337" t="s">
        <v>651</v>
      </c>
      <c r="W297" s="337" t="s">
        <v>652</v>
      </c>
      <c r="X297" s="339">
        <v>3510</v>
      </c>
      <c r="Y297" s="337">
        <v>1</v>
      </c>
      <c r="Z297" s="93"/>
      <c r="AA297" s="93"/>
      <c r="AC297" s="337" t="s">
        <v>909</v>
      </c>
      <c r="AD297" s="337" t="s">
        <v>907</v>
      </c>
      <c r="AE297" s="337">
        <v>224</v>
      </c>
      <c r="AF297" s="338">
        <v>56</v>
      </c>
      <c r="AG297" s="93"/>
      <c r="AH297" s="337" t="s">
        <v>397</v>
      </c>
      <c r="AI297" s="337" t="s">
        <v>242</v>
      </c>
      <c r="AJ297" s="339">
        <v>2058.6</v>
      </c>
      <c r="AK297" s="337">
        <v>34</v>
      </c>
    </row>
    <row r="298" spans="1:37" x14ac:dyDescent="0.3">
      <c r="A298" s="511"/>
      <c r="B298" s="91" t="s">
        <v>805</v>
      </c>
      <c r="C298" s="337" t="s">
        <v>162</v>
      </c>
      <c r="D298" s="338">
        <v>2280</v>
      </c>
      <c r="E298" s="337">
        <v>2</v>
      </c>
      <c r="F298" s="286"/>
      <c r="G298" s="337" t="s">
        <v>180</v>
      </c>
      <c r="H298" s="337" t="s">
        <v>181</v>
      </c>
      <c r="I298" s="338">
        <v>769</v>
      </c>
      <c r="J298" s="337">
        <v>1</v>
      </c>
      <c r="K298" s="93"/>
      <c r="L298" s="337" t="s">
        <v>483</v>
      </c>
      <c r="M298" s="337" t="s">
        <v>165</v>
      </c>
      <c r="N298" s="339">
        <v>5745</v>
      </c>
      <c r="O298" s="337">
        <v>9</v>
      </c>
      <c r="P298" s="93"/>
      <c r="Q298" s="337" t="s">
        <v>484</v>
      </c>
      <c r="R298" s="337" t="s">
        <v>174</v>
      </c>
      <c r="S298" s="339">
        <v>15450</v>
      </c>
      <c r="T298" s="337">
        <v>15</v>
      </c>
      <c r="U298" s="93"/>
      <c r="V298" s="337" t="s">
        <v>913</v>
      </c>
      <c r="W298" s="337" t="s">
        <v>652</v>
      </c>
      <c r="X298" s="339">
        <v>3850</v>
      </c>
      <c r="Y298" s="337">
        <v>1</v>
      </c>
      <c r="Z298" s="93"/>
      <c r="AA298" s="93"/>
      <c r="AC298" s="337" t="s">
        <v>910</v>
      </c>
      <c r="AD298" s="337" t="s">
        <v>911</v>
      </c>
      <c r="AE298" s="337">
        <v>168</v>
      </c>
      <c r="AF298" s="338">
        <v>48</v>
      </c>
      <c r="AG298" s="93"/>
      <c r="AH298" s="337" t="s">
        <v>398</v>
      </c>
      <c r="AI298" s="337" t="s">
        <v>242</v>
      </c>
      <c r="AJ298" s="337">
        <v>162</v>
      </c>
      <c r="AK298" s="337">
        <v>9</v>
      </c>
    </row>
    <row r="299" spans="1:37" x14ac:dyDescent="0.3">
      <c r="A299" s="511"/>
      <c r="B299" s="91" t="s">
        <v>419</v>
      </c>
      <c r="C299" s="337" t="s">
        <v>162</v>
      </c>
      <c r="D299" s="338">
        <v>2280</v>
      </c>
      <c r="E299" s="337">
        <v>2</v>
      </c>
      <c r="F299" s="286"/>
      <c r="G299" s="337" t="s">
        <v>912</v>
      </c>
      <c r="H299" s="337" t="s">
        <v>181</v>
      </c>
      <c r="I299" s="338">
        <v>2028</v>
      </c>
      <c r="J299" s="337">
        <v>3</v>
      </c>
      <c r="K299" s="93"/>
      <c r="L299" s="337" t="s">
        <v>164</v>
      </c>
      <c r="M299" s="337" t="s">
        <v>165</v>
      </c>
      <c r="N299" s="339">
        <v>6710</v>
      </c>
      <c r="O299" s="337">
        <v>11</v>
      </c>
      <c r="P299" s="93"/>
      <c r="Q299" s="337" t="s">
        <v>173</v>
      </c>
      <c r="R299" s="337" t="s">
        <v>174</v>
      </c>
      <c r="S299" s="339">
        <v>4524</v>
      </c>
      <c r="T299" s="337">
        <v>4</v>
      </c>
      <c r="U299" s="93"/>
      <c r="V299" s="337" t="s">
        <v>904</v>
      </c>
      <c r="W299" s="337" t="s">
        <v>905</v>
      </c>
      <c r="X299" s="337">
        <v>390</v>
      </c>
      <c r="Y299" s="337">
        <v>2</v>
      </c>
      <c r="Z299" s="93"/>
      <c r="AA299" s="93"/>
      <c r="AC299" s="337" t="s">
        <v>557</v>
      </c>
      <c r="AD299" s="337" t="s">
        <v>457</v>
      </c>
      <c r="AE299" s="337">
        <v>136</v>
      </c>
      <c r="AF299" s="338">
        <v>16</v>
      </c>
      <c r="AG299" s="93"/>
      <c r="AH299" s="337" t="s">
        <v>743</v>
      </c>
      <c r="AI299" s="337" t="s">
        <v>242</v>
      </c>
      <c r="AJ299" s="339">
        <v>1817</v>
      </c>
      <c r="AK299" s="337">
        <v>30</v>
      </c>
    </row>
    <row r="300" spans="1:37" x14ac:dyDescent="0.3">
      <c r="A300" s="511"/>
      <c r="B300" s="91" t="s">
        <v>203</v>
      </c>
      <c r="C300" s="337" t="s">
        <v>806</v>
      </c>
      <c r="D300" s="338">
        <v>25605.599999999999</v>
      </c>
      <c r="E300" s="337">
        <v>12</v>
      </c>
      <c r="F300" s="286"/>
      <c r="G300" s="337" t="s">
        <v>331</v>
      </c>
      <c r="H300" s="337" t="s">
        <v>181</v>
      </c>
      <c r="I300" s="338">
        <v>2640</v>
      </c>
      <c r="J300" s="337">
        <v>4</v>
      </c>
      <c r="K300" s="93"/>
      <c r="L300" s="337" t="s">
        <v>185</v>
      </c>
      <c r="M300" s="337" t="s">
        <v>165</v>
      </c>
      <c r="N300" s="339">
        <v>10298</v>
      </c>
      <c r="O300" s="337">
        <v>12</v>
      </c>
      <c r="P300" s="93"/>
      <c r="Q300" s="337" t="s">
        <v>186</v>
      </c>
      <c r="R300" s="337" t="s">
        <v>174</v>
      </c>
      <c r="S300" s="339">
        <v>39808</v>
      </c>
      <c r="T300" s="337">
        <v>32</v>
      </c>
      <c r="U300" s="93"/>
      <c r="V300" s="337" t="s">
        <v>655</v>
      </c>
      <c r="W300" s="337" t="s">
        <v>656</v>
      </c>
      <c r="X300" s="337">
        <v>241.9</v>
      </c>
      <c r="Y300" s="337">
        <v>1</v>
      </c>
      <c r="Z300" s="93"/>
      <c r="AA300" s="93"/>
      <c r="AC300" s="337" t="s">
        <v>914</v>
      </c>
      <c r="AD300" s="337" t="s">
        <v>674</v>
      </c>
      <c r="AE300" s="337">
        <v>80</v>
      </c>
      <c r="AF300" s="338">
        <v>20</v>
      </c>
      <c r="AG300" s="93"/>
      <c r="AH300" s="337" t="s">
        <v>744</v>
      </c>
      <c r="AI300" s="337" t="s">
        <v>242</v>
      </c>
      <c r="AJ300" s="337">
        <v>366.7</v>
      </c>
      <c r="AK300" s="337">
        <v>6</v>
      </c>
    </row>
    <row r="301" spans="1:37" x14ac:dyDescent="0.3">
      <c r="A301" s="511"/>
      <c r="B301" s="91" t="s">
        <v>334</v>
      </c>
      <c r="C301" s="337" t="s">
        <v>170</v>
      </c>
      <c r="D301" s="338">
        <v>3178</v>
      </c>
      <c r="E301" s="337">
        <v>2</v>
      </c>
      <c r="F301" s="286"/>
      <c r="G301" s="337" t="s">
        <v>564</v>
      </c>
      <c r="H301" s="337" t="s">
        <v>181</v>
      </c>
      <c r="I301" s="338">
        <v>27804</v>
      </c>
      <c r="J301" s="337">
        <v>12</v>
      </c>
      <c r="K301" s="93"/>
      <c r="L301" s="337" t="s">
        <v>585</v>
      </c>
      <c r="M301" s="337" t="s">
        <v>165</v>
      </c>
      <c r="N301" s="339">
        <v>1306</v>
      </c>
      <c r="O301" s="337">
        <v>2</v>
      </c>
      <c r="P301" s="93"/>
      <c r="Q301" s="337" t="s">
        <v>379</v>
      </c>
      <c r="R301" s="337" t="s">
        <v>174</v>
      </c>
      <c r="S301" s="339">
        <v>7800</v>
      </c>
      <c r="T301" s="337">
        <v>1</v>
      </c>
      <c r="U301" s="93"/>
      <c r="V301" s="337" t="s">
        <v>657</v>
      </c>
      <c r="W301" s="337" t="s">
        <v>658</v>
      </c>
      <c r="X301" s="337">
        <v>241.9</v>
      </c>
      <c r="Y301" s="337">
        <v>1</v>
      </c>
      <c r="Z301" s="93"/>
      <c r="AA301" s="93"/>
      <c r="AC301" s="337" t="s">
        <v>335</v>
      </c>
      <c r="AD301" s="337" t="s">
        <v>336</v>
      </c>
      <c r="AE301" s="337">
        <v>136</v>
      </c>
      <c r="AF301" s="338">
        <v>16</v>
      </c>
      <c r="AG301" s="93"/>
      <c r="AH301" s="337" t="s">
        <v>745</v>
      </c>
      <c r="AI301" s="337" t="s">
        <v>242</v>
      </c>
      <c r="AJ301" s="337">
        <v>184.61</v>
      </c>
      <c r="AK301" s="337">
        <v>3</v>
      </c>
    </row>
    <row r="302" spans="1:37" x14ac:dyDescent="0.3">
      <c r="A302" s="511"/>
      <c r="B302" s="91" t="s">
        <v>194</v>
      </c>
      <c r="C302" s="337" t="s">
        <v>170</v>
      </c>
      <c r="D302" s="339">
        <v>5367</v>
      </c>
      <c r="E302" s="337">
        <v>3</v>
      </c>
      <c r="F302" s="311"/>
      <c r="G302" s="337" t="s">
        <v>565</v>
      </c>
      <c r="H302" s="337" t="s">
        <v>181</v>
      </c>
      <c r="I302" s="338">
        <v>4634</v>
      </c>
      <c r="J302" s="337">
        <v>2</v>
      </c>
      <c r="K302" s="93"/>
      <c r="L302" s="337" t="s">
        <v>378</v>
      </c>
      <c r="M302" s="337" t="s">
        <v>165</v>
      </c>
      <c r="N302" s="339">
        <v>4500</v>
      </c>
      <c r="O302" s="337">
        <v>1</v>
      </c>
      <c r="P302" s="93"/>
      <c r="Q302" s="337" t="s">
        <v>915</v>
      </c>
      <c r="R302" s="337" t="s">
        <v>174</v>
      </c>
      <c r="S302" s="339">
        <v>2512</v>
      </c>
      <c r="T302" s="337">
        <v>2</v>
      </c>
      <c r="U302" s="93"/>
      <c r="V302" s="337" t="s">
        <v>663</v>
      </c>
      <c r="W302" s="337" t="s">
        <v>664</v>
      </c>
      <c r="X302" s="339">
        <v>22638</v>
      </c>
      <c r="Y302" s="337">
        <v>7</v>
      </c>
      <c r="Z302" s="93"/>
      <c r="AA302" s="93"/>
      <c r="AC302" s="337" t="s">
        <v>385</v>
      </c>
      <c r="AD302" s="337" t="s">
        <v>336</v>
      </c>
      <c r="AE302" s="337">
        <v>114</v>
      </c>
      <c r="AF302" s="338">
        <v>38</v>
      </c>
      <c r="AG302" s="93"/>
      <c r="AH302" s="337" t="s">
        <v>746</v>
      </c>
      <c r="AI302" s="337" t="s">
        <v>242</v>
      </c>
      <c r="AJ302" s="337">
        <v>424.15</v>
      </c>
      <c r="AK302" s="337">
        <v>5</v>
      </c>
    </row>
    <row r="303" spans="1:37" x14ac:dyDescent="0.3">
      <c r="A303" s="511"/>
      <c r="B303" s="91" t="s">
        <v>200</v>
      </c>
      <c r="C303" s="337" t="s">
        <v>170</v>
      </c>
      <c r="D303" s="339">
        <v>7266</v>
      </c>
      <c r="E303" s="337">
        <v>6</v>
      </c>
      <c r="F303" s="311"/>
      <c r="G303" s="337" t="s">
        <v>325</v>
      </c>
      <c r="H303" s="337" t="s">
        <v>181</v>
      </c>
      <c r="I303" s="338">
        <v>18040</v>
      </c>
      <c r="J303" s="337">
        <v>11</v>
      </c>
      <c r="K303" s="93"/>
      <c r="L303" s="337" t="s">
        <v>916</v>
      </c>
      <c r="M303" s="337" t="s">
        <v>165</v>
      </c>
      <c r="N303" s="339">
        <v>8400</v>
      </c>
      <c r="O303" s="337">
        <v>3</v>
      </c>
      <c r="P303" s="93"/>
      <c r="Q303" s="337" t="s">
        <v>535</v>
      </c>
      <c r="R303" s="337" t="s">
        <v>174</v>
      </c>
      <c r="S303" s="339">
        <v>5870</v>
      </c>
      <c r="T303" s="337">
        <v>5</v>
      </c>
      <c r="U303" s="93"/>
      <c r="V303" s="337" t="s">
        <v>665</v>
      </c>
      <c r="W303" s="337" t="s">
        <v>666</v>
      </c>
      <c r="X303" s="339">
        <v>8572</v>
      </c>
      <c r="Y303" s="337">
        <v>2</v>
      </c>
      <c r="Z303" s="93"/>
      <c r="AA303" s="93"/>
      <c r="AC303" s="337" t="s">
        <v>337</v>
      </c>
      <c r="AD303" s="337" t="s">
        <v>336</v>
      </c>
      <c r="AE303" s="337">
        <v>84</v>
      </c>
      <c r="AF303" s="338">
        <v>28</v>
      </c>
      <c r="AG303" s="93"/>
      <c r="AH303" s="337" t="s">
        <v>519</v>
      </c>
      <c r="AI303" s="337" t="s">
        <v>242</v>
      </c>
      <c r="AJ303" s="339">
        <v>1946.75</v>
      </c>
      <c r="AK303" s="337">
        <v>35</v>
      </c>
    </row>
    <row r="304" spans="1:37" x14ac:dyDescent="0.3">
      <c r="A304" s="511"/>
      <c r="B304" s="91" t="s">
        <v>169</v>
      </c>
      <c r="C304" s="337" t="s">
        <v>170</v>
      </c>
      <c r="D304" s="339">
        <v>5584.8</v>
      </c>
      <c r="E304" s="337">
        <v>3</v>
      </c>
      <c r="F304" s="286"/>
      <c r="G304" s="337" t="s">
        <v>177</v>
      </c>
      <c r="H304" s="337" t="s">
        <v>181</v>
      </c>
      <c r="I304" s="338">
        <v>27524</v>
      </c>
      <c r="J304" s="337">
        <v>14</v>
      </c>
      <c r="K304" s="93"/>
      <c r="L304" s="337" t="s">
        <v>963</v>
      </c>
      <c r="M304" s="337" t="s">
        <v>165</v>
      </c>
      <c r="N304" s="339">
        <v>4182</v>
      </c>
      <c r="O304" s="337">
        <v>2</v>
      </c>
      <c r="P304" s="93"/>
      <c r="Q304" s="337" t="s">
        <v>812</v>
      </c>
      <c r="R304" s="337" t="s">
        <v>174</v>
      </c>
      <c r="S304" s="339">
        <v>28560</v>
      </c>
      <c r="T304" s="337">
        <v>7</v>
      </c>
      <c r="U304" s="93"/>
      <c r="V304" s="340"/>
      <c r="W304" s="340"/>
      <c r="X304" s="340"/>
      <c r="Y304" s="340"/>
      <c r="Z304" s="93"/>
      <c r="AA304" s="93"/>
      <c r="AC304" s="337" t="s">
        <v>498</v>
      </c>
      <c r="AD304" s="337" t="s">
        <v>205</v>
      </c>
      <c r="AE304" s="337">
        <v>156</v>
      </c>
      <c r="AF304" s="338">
        <v>24</v>
      </c>
      <c r="AG304" s="93"/>
      <c r="AH304" s="337" t="s">
        <v>275</v>
      </c>
      <c r="AI304" s="337" t="s">
        <v>242</v>
      </c>
      <c r="AJ304" s="339">
        <v>1941.02</v>
      </c>
      <c r="AK304" s="337">
        <v>53</v>
      </c>
    </row>
    <row r="305" spans="1:37" x14ac:dyDescent="0.3">
      <c r="A305" s="511"/>
      <c r="B305" s="91" t="s">
        <v>627</v>
      </c>
      <c r="C305" s="337" t="s">
        <v>170</v>
      </c>
      <c r="D305" s="339">
        <v>10899</v>
      </c>
      <c r="E305" s="337">
        <v>9</v>
      </c>
      <c r="F305" s="286"/>
      <c r="G305" s="337" t="s">
        <v>377</v>
      </c>
      <c r="H305" s="337" t="s">
        <v>181</v>
      </c>
      <c r="I305" s="338">
        <v>7995</v>
      </c>
      <c r="J305" s="337">
        <v>5</v>
      </c>
      <c r="K305" s="93"/>
      <c r="L305" s="337" t="s">
        <v>635</v>
      </c>
      <c r="M305" s="337" t="s">
        <v>165</v>
      </c>
      <c r="N305" s="339">
        <v>1092</v>
      </c>
      <c r="O305" s="337">
        <v>1</v>
      </c>
      <c r="P305" s="93"/>
      <c r="Q305" s="337" t="s">
        <v>485</v>
      </c>
      <c r="R305" s="337" t="s">
        <v>420</v>
      </c>
      <c r="S305" s="339">
        <v>14420</v>
      </c>
      <c r="T305" s="337">
        <v>14</v>
      </c>
      <c r="U305" s="93"/>
      <c r="V305" s="340"/>
      <c r="W305" s="340"/>
      <c r="X305" s="340"/>
      <c r="Y305" s="340"/>
      <c r="Z305" s="93"/>
      <c r="AA305" s="93"/>
      <c r="AC305" s="337" t="s">
        <v>500</v>
      </c>
      <c r="AD305" s="337" t="s">
        <v>205</v>
      </c>
      <c r="AE305" s="337">
        <v>156</v>
      </c>
      <c r="AF305" s="338">
        <v>24</v>
      </c>
      <c r="AG305" s="93"/>
      <c r="AH305" s="337" t="s">
        <v>749</v>
      </c>
      <c r="AI305" s="337" t="s">
        <v>750</v>
      </c>
      <c r="AJ305" s="337">
        <v>676.5</v>
      </c>
      <c r="AK305" s="337">
        <v>41</v>
      </c>
    </row>
    <row r="306" spans="1:37" x14ac:dyDescent="0.3">
      <c r="A306" s="511"/>
      <c r="B306" s="91" t="s">
        <v>191</v>
      </c>
      <c r="C306" s="337" t="s">
        <v>170</v>
      </c>
      <c r="D306" s="339">
        <v>31010</v>
      </c>
      <c r="E306" s="337">
        <v>5</v>
      </c>
      <c r="F306" s="286"/>
      <c r="G306" s="337" t="s">
        <v>163</v>
      </c>
      <c r="H306" s="337" t="s">
        <v>181</v>
      </c>
      <c r="I306" s="338">
        <v>51168</v>
      </c>
      <c r="J306" s="337">
        <v>32</v>
      </c>
      <c r="K306" s="93"/>
      <c r="L306" s="337" t="s">
        <v>171</v>
      </c>
      <c r="M306" s="337" t="s">
        <v>172</v>
      </c>
      <c r="N306" s="339">
        <v>20758</v>
      </c>
      <c r="O306" s="337">
        <v>34</v>
      </c>
      <c r="P306" s="93"/>
      <c r="Q306" s="337" t="s">
        <v>641</v>
      </c>
      <c r="R306" s="337" t="s">
        <v>423</v>
      </c>
      <c r="S306" s="339">
        <v>4124</v>
      </c>
      <c r="T306" s="337">
        <v>2</v>
      </c>
      <c r="U306" s="93"/>
      <c r="V306" s="340"/>
      <c r="W306" s="340"/>
      <c r="X306" s="340"/>
      <c r="Y306" s="340"/>
      <c r="Z306" s="93"/>
      <c r="AA306" s="93"/>
      <c r="AC306" s="337" t="s">
        <v>204</v>
      </c>
      <c r="AD306" s="337" t="s">
        <v>205</v>
      </c>
      <c r="AE306" s="337">
        <v>366.12</v>
      </c>
      <c r="AF306" s="338">
        <v>27</v>
      </c>
      <c r="AG306" s="93"/>
      <c r="AH306" s="337" t="s">
        <v>917</v>
      </c>
      <c r="AI306" s="337" t="s">
        <v>750</v>
      </c>
      <c r="AJ306" s="337">
        <v>396</v>
      </c>
      <c r="AK306" s="337">
        <v>24</v>
      </c>
    </row>
    <row r="307" spans="1:37" x14ac:dyDescent="0.3">
      <c r="A307" s="511"/>
      <c r="B307" s="91" t="s">
        <v>482</v>
      </c>
      <c r="C307" s="337" t="s">
        <v>170</v>
      </c>
      <c r="D307" s="339">
        <v>52975</v>
      </c>
      <c r="E307" s="337">
        <v>13</v>
      </c>
      <c r="F307" s="286"/>
      <c r="G307" s="337" t="s">
        <v>633</v>
      </c>
      <c r="H307" s="337" t="s">
        <v>181</v>
      </c>
      <c r="I307" s="338">
        <v>15126</v>
      </c>
      <c r="J307" s="337">
        <v>6</v>
      </c>
      <c r="K307" s="93"/>
      <c r="L307" s="337" t="s">
        <v>192</v>
      </c>
      <c r="M307" s="337" t="s">
        <v>551</v>
      </c>
      <c r="N307" s="339">
        <v>20052</v>
      </c>
      <c r="O307" s="337">
        <v>20</v>
      </c>
      <c r="P307" s="93"/>
      <c r="Q307" s="337" t="s">
        <v>813</v>
      </c>
      <c r="R307" s="337" t="s">
        <v>423</v>
      </c>
      <c r="S307" s="339">
        <v>12420</v>
      </c>
      <c r="T307" s="337">
        <v>3</v>
      </c>
      <c r="U307" s="93"/>
      <c r="V307" s="340"/>
      <c r="W307" s="340"/>
      <c r="X307" s="341"/>
      <c r="Y307" s="340"/>
      <c r="Z307" s="93"/>
      <c r="AA307" s="93"/>
      <c r="AC307" s="337" t="s">
        <v>845</v>
      </c>
      <c r="AD307" s="337" t="s">
        <v>205</v>
      </c>
      <c r="AE307" s="337">
        <v>157</v>
      </c>
      <c r="AF307" s="338">
        <v>16</v>
      </c>
      <c r="AG307" s="93"/>
      <c r="AH307" s="337" t="s">
        <v>372</v>
      </c>
      <c r="AI307" s="337" t="s">
        <v>431</v>
      </c>
      <c r="AJ307" s="337">
        <v>95</v>
      </c>
      <c r="AK307" s="337">
        <v>4</v>
      </c>
    </row>
    <row r="308" spans="1:37" x14ac:dyDescent="0.3">
      <c r="A308" s="511"/>
      <c r="B308" s="91" t="s">
        <v>188</v>
      </c>
      <c r="C308" s="337" t="s">
        <v>170</v>
      </c>
      <c r="D308" s="339">
        <v>7092</v>
      </c>
      <c r="E308" s="337">
        <v>1</v>
      </c>
      <c r="F308" s="286"/>
      <c r="G308" s="337" t="s">
        <v>195</v>
      </c>
      <c r="H308" s="337" t="s">
        <v>181</v>
      </c>
      <c r="I308" s="338">
        <v>37815</v>
      </c>
      <c r="J308" s="337">
        <v>15</v>
      </c>
      <c r="K308" s="93"/>
      <c r="L308" s="337" t="s">
        <v>201</v>
      </c>
      <c r="M308" s="337" t="s">
        <v>202</v>
      </c>
      <c r="N308" s="339">
        <v>1357.8</v>
      </c>
      <c r="O308" s="337">
        <v>2</v>
      </c>
      <c r="P308" s="93"/>
      <c r="Q308" s="337" t="s">
        <v>209</v>
      </c>
      <c r="R308" s="337" t="s">
        <v>570</v>
      </c>
      <c r="S308" s="339">
        <v>2945</v>
      </c>
      <c r="T308" s="337">
        <v>1</v>
      </c>
      <c r="U308" s="93"/>
      <c r="V308" s="340"/>
      <c r="W308" s="340"/>
      <c r="X308" s="341"/>
      <c r="Y308" s="340"/>
      <c r="Z308" s="93"/>
      <c r="AA308" s="93"/>
      <c r="AC308" s="337" t="s">
        <v>342</v>
      </c>
      <c r="AD308" s="337" t="s">
        <v>205</v>
      </c>
      <c r="AE308" s="337">
        <v>85.5</v>
      </c>
      <c r="AF308" s="338">
        <v>19</v>
      </c>
      <c r="AG308" s="93"/>
      <c r="AH308" s="337" t="s">
        <v>297</v>
      </c>
      <c r="AI308" s="337" t="s">
        <v>298</v>
      </c>
      <c r="AJ308" s="337">
        <v>551.98</v>
      </c>
      <c r="AK308" s="337">
        <v>161</v>
      </c>
    </row>
    <row r="309" spans="1:37" x14ac:dyDescent="0.3">
      <c r="A309" s="511"/>
      <c r="B309" s="91" t="s">
        <v>550</v>
      </c>
      <c r="C309" s="337" t="s">
        <v>170</v>
      </c>
      <c r="D309" s="339">
        <v>7092</v>
      </c>
      <c r="E309" s="337">
        <v>1</v>
      </c>
      <c r="F309" s="286"/>
      <c r="G309" s="337" t="s">
        <v>384</v>
      </c>
      <c r="H309" s="337" t="s">
        <v>181</v>
      </c>
      <c r="I309" s="338">
        <v>11955</v>
      </c>
      <c r="J309" s="337">
        <v>3</v>
      </c>
      <c r="K309" s="93"/>
      <c r="L309" s="337"/>
      <c r="M309" s="337"/>
      <c r="N309" s="338"/>
      <c r="O309" s="337"/>
      <c r="P309" s="93"/>
      <c r="Q309" s="337" t="s">
        <v>964</v>
      </c>
      <c r="R309" s="337" t="s">
        <v>570</v>
      </c>
      <c r="S309" s="339">
        <v>5890</v>
      </c>
      <c r="T309" s="337">
        <v>2</v>
      </c>
      <c r="U309" s="93"/>
      <c r="V309" s="340"/>
      <c r="W309" s="340"/>
      <c r="X309" s="341"/>
      <c r="Y309" s="340"/>
      <c r="Z309" s="93"/>
      <c r="AA309" s="93"/>
      <c r="AC309" s="337" t="s">
        <v>919</v>
      </c>
      <c r="AD309" s="337" t="s">
        <v>205</v>
      </c>
      <c r="AE309" s="337">
        <v>40</v>
      </c>
      <c r="AF309" s="338">
        <v>2</v>
      </c>
      <c r="AG309" s="93"/>
      <c r="AH309" s="337" t="s">
        <v>299</v>
      </c>
      <c r="AI309" s="337" t="s">
        <v>298</v>
      </c>
      <c r="AJ309" s="337">
        <v>551.98</v>
      </c>
      <c r="AK309" s="337">
        <v>161</v>
      </c>
    </row>
    <row r="310" spans="1:37" x14ac:dyDescent="0.3">
      <c r="A310" s="511"/>
      <c r="B310" s="91" t="s">
        <v>445</v>
      </c>
      <c r="C310" s="337" t="s">
        <v>170</v>
      </c>
      <c r="D310" s="339">
        <v>26925</v>
      </c>
      <c r="E310" s="337">
        <v>15</v>
      </c>
      <c r="F310" s="286"/>
      <c r="G310" s="337" t="s">
        <v>921</v>
      </c>
      <c r="H310" s="337" t="s">
        <v>181</v>
      </c>
      <c r="I310" s="338">
        <v>5042</v>
      </c>
      <c r="J310" s="337">
        <v>2</v>
      </c>
      <c r="K310" s="93"/>
      <c r="L310" s="337"/>
      <c r="M310" s="337"/>
      <c r="N310" s="338"/>
      <c r="O310" s="337"/>
      <c r="P310" s="93"/>
      <c r="Q310" s="337" t="s">
        <v>918</v>
      </c>
      <c r="R310" s="337" t="s">
        <v>570</v>
      </c>
      <c r="S310" s="339">
        <v>20520</v>
      </c>
      <c r="T310" s="337">
        <v>6</v>
      </c>
      <c r="U310" s="93"/>
      <c r="V310" s="340"/>
      <c r="W310" s="340"/>
      <c r="X310" s="341"/>
      <c r="Y310" s="340"/>
      <c r="Z310" s="93"/>
      <c r="AA310" s="93"/>
      <c r="AC310" s="337" t="s">
        <v>208</v>
      </c>
      <c r="AD310" s="337" t="s">
        <v>205</v>
      </c>
      <c r="AE310" s="337">
        <v>19.600000000000001</v>
      </c>
      <c r="AF310" s="338">
        <v>7</v>
      </c>
      <c r="AG310" s="93"/>
      <c r="AH310" s="337" t="s">
        <v>760</v>
      </c>
      <c r="AI310" s="337" t="s">
        <v>301</v>
      </c>
      <c r="AJ310" s="337">
        <v>182</v>
      </c>
      <c r="AK310" s="337">
        <v>28</v>
      </c>
    </row>
    <row r="311" spans="1:37" x14ac:dyDescent="0.3">
      <c r="A311" s="511"/>
      <c r="B311" s="91" t="s">
        <v>421</v>
      </c>
      <c r="C311" s="337" t="s">
        <v>170</v>
      </c>
      <c r="D311" s="339">
        <v>1470</v>
      </c>
      <c r="E311" s="337">
        <v>1</v>
      </c>
      <c r="F311" s="286"/>
      <c r="G311" s="93"/>
      <c r="H311" s="93"/>
      <c r="I311" s="93"/>
      <c r="J311" s="93"/>
      <c r="K311" s="93"/>
      <c r="L311" s="337"/>
      <c r="M311" s="337"/>
      <c r="N311" s="338"/>
      <c r="O311" s="337"/>
      <c r="P311" s="93"/>
      <c r="Q311" s="337" t="s">
        <v>642</v>
      </c>
      <c r="R311" s="337" t="s">
        <v>643</v>
      </c>
      <c r="S311" s="339">
        <v>5870</v>
      </c>
      <c r="T311" s="337">
        <v>5</v>
      </c>
      <c r="U311" s="93"/>
      <c r="V311" s="340"/>
      <c r="W311" s="340"/>
      <c r="X311" s="341"/>
      <c r="Y311" s="340"/>
      <c r="Z311" s="93"/>
      <c r="AA311" s="93"/>
      <c r="AC311" s="337" t="s">
        <v>922</v>
      </c>
      <c r="AD311" s="337" t="s">
        <v>205</v>
      </c>
      <c r="AE311" s="337">
        <v>6.6</v>
      </c>
      <c r="AF311" s="338">
        <v>2</v>
      </c>
      <c r="AG311" s="93"/>
      <c r="AH311" s="337" t="s">
        <v>761</v>
      </c>
      <c r="AI311" s="337" t="s">
        <v>301</v>
      </c>
      <c r="AJ311" s="337">
        <v>151.19999999999999</v>
      </c>
      <c r="AK311" s="337">
        <v>28</v>
      </c>
    </row>
    <row r="312" spans="1:37" x14ac:dyDescent="0.3">
      <c r="A312" s="511"/>
      <c r="B312" s="91" t="s">
        <v>920</v>
      </c>
      <c r="C312" s="337" t="s">
        <v>170</v>
      </c>
      <c r="D312" s="339">
        <v>12568</v>
      </c>
      <c r="E312" s="337">
        <v>2</v>
      </c>
      <c r="F312" s="286"/>
      <c r="G312" s="93"/>
      <c r="H312" s="93"/>
      <c r="I312" s="93"/>
      <c r="J312" s="93"/>
      <c r="K312" s="93"/>
      <c r="L312" s="337"/>
      <c r="M312" s="337"/>
      <c r="N312" s="338"/>
      <c r="O312" s="337"/>
      <c r="P312" s="93"/>
      <c r="Q312" s="337" t="s">
        <v>198</v>
      </c>
      <c r="R312" s="337" t="s">
        <v>199</v>
      </c>
      <c r="S312" s="339">
        <v>7800</v>
      </c>
      <c r="T312" s="337">
        <v>2</v>
      </c>
      <c r="U312" s="93"/>
      <c r="V312" s="340"/>
      <c r="W312" s="340"/>
      <c r="X312" s="340"/>
      <c r="Y312" s="340"/>
      <c r="Z312" s="93"/>
      <c r="AA312" s="93"/>
      <c r="AC312" s="337" t="s">
        <v>388</v>
      </c>
      <c r="AD312" s="337" t="s">
        <v>205</v>
      </c>
      <c r="AE312" s="337">
        <v>142.5</v>
      </c>
      <c r="AF312" s="338">
        <v>15</v>
      </c>
      <c r="AG312" s="93"/>
      <c r="AH312" s="337" t="s">
        <v>308</v>
      </c>
      <c r="AI312" s="337" t="s">
        <v>301</v>
      </c>
      <c r="AJ312" s="339">
        <v>1176</v>
      </c>
      <c r="AK312" s="337">
        <v>16</v>
      </c>
    </row>
    <row r="313" spans="1:37" x14ac:dyDescent="0.3">
      <c r="A313" s="511"/>
      <c r="B313" s="93"/>
      <c r="C313" s="93"/>
      <c r="F313" s="286"/>
      <c r="G313" s="93"/>
      <c r="H313" s="93"/>
      <c r="I313" s="93"/>
      <c r="J313" s="93"/>
      <c r="K313" s="93"/>
      <c r="L313" s="337"/>
      <c r="M313" s="337"/>
      <c r="N313" s="338"/>
      <c r="O313" s="337"/>
      <c r="P313" s="93"/>
      <c r="Q313" s="337" t="s">
        <v>206</v>
      </c>
      <c r="R313" s="337" t="s">
        <v>207</v>
      </c>
      <c r="S313" s="339">
        <v>12600</v>
      </c>
      <c r="T313" s="337">
        <v>3</v>
      </c>
      <c r="U313" s="93"/>
      <c r="V313" s="340"/>
      <c r="W313" s="340"/>
      <c r="X313" s="340"/>
      <c r="Y313" s="340"/>
      <c r="Z313" s="93"/>
      <c r="AA313" s="93"/>
      <c r="AC313" s="337" t="s">
        <v>386</v>
      </c>
      <c r="AD313" s="337" t="s">
        <v>205</v>
      </c>
      <c r="AE313" s="337">
        <v>56</v>
      </c>
      <c r="AF313" s="338">
        <v>16</v>
      </c>
      <c r="AG313" s="93"/>
      <c r="AH313" s="337" t="s">
        <v>925</v>
      </c>
      <c r="AI313" s="337" t="s">
        <v>301</v>
      </c>
      <c r="AJ313" s="339">
        <v>1402.5</v>
      </c>
      <c r="AK313" s="337">
        <v>15</v>
      </c>
    </row>
    <row r="314" spans="1:37" x14ac:dyDescent="0.3">
      <c r="A314" s="511"/>
      <c r="B314" s="93"/>
      <c r="C314" s="93"/>
      <c r="D314" s="208"/>
      <c r="E314" s="93"/>
      <c r="F314" s="286"/>
      <c r="G314" s="93"/>
      <c r="H314" s="93"/>
      <c r="I314" s="93"/>
      <c r="J314" s="93"/>
      <c r="K314" s="93"/>
      <c r="L314" s="337"/>
      <c r="M314" s="337"/>
      <c r="N314" s="338"/>
      <c r="O314" s="337"/>
      <c r="P314" s="93"/>
      <c r="Q314" s="337" t="s">
        <v>923</v>
      </c>
      <c r="R314" s="337" t="s">
        <v>924</v>
      </c>
      <c r="S314" s="339">
        <v>4020</v>
      </c>
      <c r="T314" s="337">
        <v>1</v>
      </c>
      <c r="U314" s="93"/>
      <c r="V314" s="340"/>
      <c r="W314" s="340"/>
      <c r="X314" s="340"/>
      <c r="Y314" s="340"/>
      <c r="Z314" s="93"/>
      <c r="AA314" s="93"/>
      <c r="AC314" s="337" t="s">
        <v>541</v>
      </c>
      <c r="AD314" s="337" t="s">
        <v>205</v>
      </c>
      <c r="AE314" s="337">
        <v>56</v>
      </c>
      <c r="AF314" s="338">
        <v>8</v>
      </c>
      <c r="AG314" s="93"/>
      <c r="AH314" s="337" t="s">
        <v>762</v>
      </c>
      <c r="AI314" s="337" t="s">
        <v>301</v>
      </c>
      <c r="AJ314" s="337">
        <v>586.5</v>
      </c>
      <c r="AK314" s="337">
        <v>23</v>
      </c>
    </row>
    <row r="315" spans="1:37" x14ac:dyDescent="0.3">
      <c r="A315" s="511"/>
      <c r="B315" s="93"/>
      <c r="C315" s="93"/>
      <c r="D315" s="208"/>
      <c r="E315" s="93"/>
      <c r="F315" s="286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340"/>
      <c r="R315" s="340"/>
      <c r="S315" s="341"/>
      <c r="T315" s="340"/>
      <c r="U315" s="93"/>
      <c r="V315" s="340"/>
      <c r="W315" s="340"/>
      <c r="X315" s="340"/>
      <c r="Y315" s="340"/>
      <c r="Z315" s="93"/>
      <c r="AA315" s="93"/>
      <c r="AC315" s="337" t="s">
        <v>343</v>
      </c>
      <c r="AD315" s="337" t="s">
        <v>205</v>
      </c>
      <c r="AE315" s="337">
        <v>151.91999999999999</v>
      </c>
      <c r="AF315" s="338">
        <v>24</v>
      </c>
      <c r="AG315" s="93"/>
      <c r="AH315" s="337" t="s">
        <v>216</v>
      </c>
      <c r="AI315" s="337" t="s">
        <v>399</v>
      </c>
      <c r="AJ315" s="337">
        <v>260.39999999999998</v>
      </c>
      <c r="AK315" s="337">
        <v>42</v>
      </c>
    </row>
    <row r="316" spans="1:37" x14ac:dyDescent="0.3">
      <c r="A316" s="511"/>
      <c r="B316" s="91" t="s">
        <v>967</v>
      </c>
      <c r="C316" s="337" t="s">
        <v>456</v>
      </c>
      <c r="D316" s="337">
        <v>720</v>
      </c>
      <c r="E316" s="337">
        <v>1</v>
      </c>
      <c r="F316" s="286"/>
      <c r="G316" s="93"/>
      <c r="H316" s="93"/>
      <c r="I316" s="93"/>
      <c r="J316" s="93"/>
      <c r="K316" s="93"/>
      <c r="P316" s="93"/>
      <c r="Q316" s="340"/>
      <c r="R316" s="340"/>
      <c r="S316" s="341"/>
      <c r="T316" s="340"/>
      <c r="U316" s="93"/>
      <c r="V316" s="340"/>
      <c r="W316" s="340"/>
      <c r="X316" s="340"/>
      <c r="Y316" s="340"/>
      <c r="Z316" s="93"/>
      <c r="AA316" s="93"/>
      <c r="AC316" s="337" t="s">
        <v>235</v>
      </c>
      <c r="AD316" s="337" t="s">
        <v>205</v>
      </c>
      <c r="AE316" s="337">
        <v>343</v>
      </c>
      <c r="AF316" s="338">
        <v>49</v>
      </c>
      <c r="AG316" s="93"/>
      <c r="AH316" s="337" t="s">
        <v>215</v>
      </c>
      <c r="AI316" s="337" t="s">
        <v>399</v>
      </c>
      <c r="AJ316" s="337">
        <v>276</v>
      </c>
      <c r="AK316" s="337">
        <v>20</v>
      </c>
    </row>
    <row r="317" spans="1:37" x14ac:dyDescent="0.3">
      <c r="A317" s="511"/>
      <c r="B317" s="91" t="s">
        <v>965</v>
      </c>
      <c r="C317" s="337" t="s">
        <v>966</v>
      </c>
      <c r="D317" s="337">
        <v>870</v>
      </c>
      <c r="E317" s="337">
        <v>1</v>
      </c>
      <c r="F317" s="286"/>
      <c r="G317" s="93"/>
      <c r="H317" s="93"/>
      <c r="I317" s="93"/>
      <c r="J317" s="93"/>
      <c r="K317" s="93"/>
      <c r="P317" s="93"/>
      <c r="Q317" s="337"/>
      <c r="R317" s="337"/>
      <c r="S317" s="338"/>
      <c r="T317" s="337"/>
      <c r="U317" s="93"/>
      <c r="V317" s="340"/>
      <c r="W317" s="340"/>
      <c r="X317" s="340"/>
      <c r="Y317" s="340"/>
      <c r="Z317" s="93"/>
      <c r="AA317" s="93"/>
      <c r="AC317" s="337" t="s">
        <v>681</v>
      </c>
      <c r="AD317" s="337" t="s">
        <v>205</v>
      </c>
      <c r="AE317" s="337">
        <v>518</v>
      </c>
      <c r="AF317" s="338">
        <v>37</v>
      </c>
      <c r="AG317" s="93"/>
      <c r="AH317" s="337" t="s">
        <v>302</v>
      </c>
      <c r="AI317" s="337" t="s">
        <v>303</v>
      </c>
      <c r="AJ317" s="337">
        <v>344.4</v>
      </c>
      <c r="AK317" s="337">
        <v>42</v>
      </c>
    </row>
    <row r="318" spans="1:37" x14ac:dyDescent="0.3">
      <c r="A318" s="511"/>
      <c r="B318" s="91" t="s">
        <v>968</v>
      </c>
      <c r="C318" s="337" t="s">
        <v>969</v>
      </c>
      <c r="D318" s="339">
        <v>1440</v>
      </c>
      <c r="E318" s="337">
        <v>1</v>
      </c>
      <c r="F318" s="286"/>
      <c r="G318" s="93"/>
      <c r="H318" s="93"/>
      <c r="I318" s="93"/>
      <c r="J318" s="93"/>
      <c r="K318" s="93"/>
      <c r="P318" s="93"/>
      <c r="Q318" s="337"/>
      <c r="R318" s="337"/>
      <c r="S318" s="338"/>
      <c r="T318" s="337"/>
      <c r="U318" s="93"/>
      <c r="V318" s="340"/>
      <c r="W318" s="340"/>
      <c r="X318" s="340"/>
      <c r="Y318" s="340"/>
      <c r="Z318" s="93"/>
      <c r="AA318" s="93"/>
      <c r="AC318" s="337" t="s">
        <v>344</v>
      </c>
      <c r="AD318" s="337" t="s">
        <v>205</v>
      </c>
      <c r="AE318" s="337">
        <v>78</v>
      </c>
      <c r="AF318" s="338">
        <v>18</v>
      </c>
      <c r="AG318" s="93"/>
      <c r="AH318" s="337" t="s">
        <v>304</v>
      </c>
      <c r="AI318" s="337" t="s">
        <v>303</v>
      </c>
      <c r="AJ318" s="337">
        <v>326</v>
      </c>
      <c r="AK318" s="337">
        <v>20</v>
      </c>
    </row>
    <row r="319" spans="1:37" x14ac:dyDescent="0.3">
      <c r="A319" s="511"/>
      <c r="B319" s="93"/>
      <c r="C319" s="93"/>
      <c r="D319" s="208"/>
      <c r="E319" s="93"/>
      <c r="F319" s="286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337"/>
      <c r="R319" s="337"/>
      <c r="S319" s="338"/>
      <c r="T319" s="337"/>
      <c r="U319" s="93"/>
      <c r="V319" s="340"/>
      <c r="W319" s="340"/>
      <c r="X319" s="340"/>
      <c r="Y319" s="340"/>
      <c r="Z319" s="93"/>
      <c r="AA319" s="93"/>
      <c r="AC319" s="337" t="s">
        <v>387</v>
      </c>
      <c r="AD319" s="337" t="s">
        <v>205</v>
      </c>
      <c r="AE319" s="337">
        <v>12</v>
      </c>
      <c r="AF319" s="338">
        <v>4</v>
      </c>
      <c r="AG319" s="93"/>
      <c r="AH319" s="337" t="s">
        <v>364</v>
      </c>
      <c r="AI319" s="337" t="s">
        <v>365</v>
      </c>
      <c r="AJ319" s="337">
        <v>604.21</v>
      </c>
      <c r="AK319" s="337">
        <v>71</v>
      </c>
    </row>
    <row r="320" spans="1:37" x14ac:dyDescent="0.3">
      <c r="A320" s="511"/>
      <c r="B320" s="93"/>
      <c r="C320" s="93"/>
      <c r="D320" s="93"/>
      <c r="E320" s="93"/>
      <c r="F320" s="286"/>
      <c r="G320" s="93"/>
      <c r="H320" s="93"/>
      <c r="I320" s="93"/>
      <c r="J320" s="93"/>
      <c r="K320" s="93"/>
      <c r="L320" s="93"/>
      <c r="M320" s="333"/>
      <c r="N320" s="334"/>
      <c r="O320" s="93"/>
      <c r="P320" s="93"/>
      <c r="Q320" s="93"/>
      <c r="R320" s="93"/>
      <c r="S320" s="93"/>
      <c r="T320" s="93"/>
      <c r="U320" s="93"/>
      <c r="V320" s="340"/>
      <c r="W320" s="340"/>
      <c r="X320" s="340"/>
      <c r="Y320" s="340"/>
      <c r="Z320" s="93"/>
      <c r="AA320" s="93"/>
      <c r="AC320" s="337" t="s">
        <v>683</v>
      </c>
      <c r="AD320" s="337" t="s">
        <v>205</v>
      </c>
      <c r="AE320" s="339">
        <v>1034</v>
      </c>
      <c r="AF320" s="338">
        <v>44</v>
      </c>
      <c r="AG320" s="93"/>
      <c r="AH320" s="337" t="s">
        <v>406</v>
      </c>
      <c r="AI320" s="337" t="s">
        <v>407</v>
      </c>
      <c r="AJ320" s="337">
        <v>130</v>
      </c>
      <c r="AK320" s="337">
        <v>26</v>
      </c>
    </row>
    <row r="321" spans="1:37" x14ac:dyDescent="0.3">
      <c r="A321" s="511"/>
      <c r="B321" s="93"/>
      <c r="C321" s="93"/>
      <c r="F321" s="286"/>
      <c r="G321" s="93"/>
      <c r="H321" s="93"/>
      <c r="I321" s="93"/>
      <c r="J321" s="93"/>
      <c r="K321" s="93"/>
      <c r="L321" s="93"/>
      <c r="M321" s="333"/>
      <c r="N321" s="334"/>
      <c r="O321" s="93"/>
      <c r="P321" s="93"/>
      <c r="Q321" s="93"/>
      <c r="R321" s="93"/>
      <c r="S321" s="93"/>
      <c r="T321" s="93"/>
      <c r="U321" s="93"/>
      <c r="V321" s="340"/>
      <c r="W321" s="340"/>
      <c r="X321" s="340"/>
      <c r="Y321" s="340"/>
      <c r="Z321" s="93"/>
      <c r="AA321" s="93"/>
      <c r="AC321" s="337" t="s">
        <v>684</v>
      </c>
      <c r="AD321" s="337" t="s">
        <v>205</v>
      </c>
      <c r="AE321" s="337">
        <v>217</v>
      </c>
      <c r="AF321" s="338">
        <v>31</v>
      </c>
      <c r="AG321" s="93"/>
      <c r="AH321" s="337" t="s">
        <v>309</v>
      </c>
      <c r="AI321" s="337" t="s">
        <v>368</v>
      </c>
      <c r="AJ321" s="339">
        <v>4991.3999999999996</v>
      </c>
      <c r="AK321" s="337">
        <v>59</v>
      </c>
    </row>
    <row r="322" spans="1:37" x14ac:dyDescent="0.3">
      <c r="A322" s="511"/>
      <c r="B322" s="93"/>
      <c r="C322" s="93"/>
      <c r="F322" s="286"/>
      <c r="G322" s="93"/>
      <c r="H322" s="93"/>
      <c r="I322" s="93"/>
      <c r="J322" s="93"/>
      <c r="K322" s="93"/>
      <c r="L322" s="93"/>
      <c r="M322" s="333"/>
      <c r="N322" s="334"/>
      <c r="O322" s="93"/>
      <c r="P322" s="93"/>
      <c r="Q322" s="93"/>
      <c r="R322" s="93"/>
      <c r="S322" s="93"/>
      <c r="T322" s="93"/>
      <c r="U322" s="93"/>
      <c r="V322" s="340"/>
      <c r="W322" s="340"/>
      <c r="X322" s="340"/>
      <c r="Y322" s="340"/>
      <c r="Z322" s="93"/>
      <c r="AA322" s="93"/>
      <c r="AC322" s="337" t="s">
        <v>685</v>
      </c>
      <c r="AD322" s="337" t="s">
        <v>205</v>
      </c>
      <c r="AE322" s="337">
        <v>217</v>
      </c>
      <c r="AF322" s="338">
        <v>31</v>
      </c>
      <c r="AG322" s="93"/>
      <c r="AH322" s="337" t="s">
        <v>306</v>
      </c>
      <c r="AI322" s="337" t="s">
        <v>307</v>
      </c>
      <c r="AJ322" s="339">
        <v>1355.38</v>
      </c>
      <c r="AK322" s="337">
        <v>13</v>
      </c>
    </row>
    <row r="323" spans="1:37" x14ac:dyDescent="0.3">
      <c r="A323" s="511"/>
      <c r="B323" s="93"/>
      <c r="C323" s="93"/>
      <c r="F323" s="286"/>
      <c r="G323" s="93"/>
      <c r="H323" s="93"/>
      <c r="I323" s="93"/>
      <c r="J323" s="93"/>
      <c r="K323" s="93"/>
      <c r="L323" s="93"/>
      <c r="M323" s="333"/>
      <c r="N323" s="334"/>
      <c r="O323" s="93"/>
      <c r="P323" s="93"/>
      <c r="Q323" s="93"/>
      <c r="R323" s="93"/>
      <c r="S323" s="93"/>
      <c r="T323" s="93"/>
      <c r="U323" s="93"/>
      <c r="V323" s="340"/>
      <c r="W323" s="340"/>
      <c r="X323" s="340"/>
      <c r="Y323" s="340"/>
      <c r="Z323" s="93"/>
      <c r="AA323" s="93"/>
      <c r="AC323" s="337" t="s">
        <v>926</v>
      </c>
      <c r="AD323" s="337" t="s">
        <v>205</v>
      </c>
      <c r="AE323" s="337">
        <v>54</v>
      </c>
      <c r="AF323" s="338">
        <v>12</v>
      </c>
      <c r="AG323" s="93"/>
      <c r="AH323" s="337" t="s">
        <v>768</v>
      </c>
      <c r="AI323" s="337" t="s">
        <v>769</v>
      </c>
      <c r="AJ323" s="339">
        <v>1984</v>
      </c>
      <c r="AK323" s="337">
        <v>16</v>
      </c>
    </row>
    <row r="324" spans="1:37" x14ac:dyDescent="0.3">
      <c r="A324" s="511"/>
      <c r="B324" s="93"/>
      <c r="C324" s="93"/>
      <c r="D324" s="94"/>
      <c r="F324" s="286"/>
      <c r="G324" s="93"/>
      <c r="H324" s="93"/>
      <c r="I324" s="93"/>
      <c r="J324" s="93"/>
      <c r="K324" s="93"/>
      <c r="L324" s="93"/>
      <c r="M324" s="333"/>
      <c r="N324" s="334"/>
      <c r="O324" s="93"/>
      <c r="P324" s="93"/>
      <c r="Q324" s="93"/>
      <c r="R324" s="93"/>
      <c r="S324" s="93"/>
      <c r="T324" s="93"/>
      <c r="U324" s="93"/>
      <c r="V324" s="340"/>
      <c r="W324" s="340"/>
      <c r="X324" s="340">
        <v>34422</v>
      </c>
      <c r="Y324" s="340"/>
      <c r="Z324" s="93"/>
      <c r="AA324" s="93"/>
      <c r="AC324" s="337" t="s">
        <v>210</v>
      </c>
      <c r="AD324" s="337" t="s">
        <v>205</v>
      </c>
      <c r="AE324" s="337">
        <v>110</v>
      </c>
      <c r="AF324" s="338">
        <v>20</v>
      </c>
      <c r="AG324" s="93"/>
      <c r="AH324" s="337" t="s">
        <v>927</v>
      </c>
      <c r="AI324" s="337" t="s">
        <v>928</v>
      </c>
      <c r="AJ324" s="337">
        <v>168</v>
      </c>
      <c r="AK324" s="337">
        <v>48</v>
      </c>
    </row>
    <row r="325" spans="1:37" x14ac:dyDescent="0.3">
      <c r="A325" s="511"/>
      <c r="B325" s="93"/>
      <c r="C325" s="93"/>
      <c r="F325" s="286"/>
      <c r="G325" s="93"/>
      <c r="H325" s="93"/>
      <c r="I325" s="93"/>
      <c r="J325" s="93"/>
      <c r="K325" s="93"/>
      <c r="L325" s="93"/>
      <c r="M325" s="333"/>
      <c r="N325" s="334"/>
      <c r="O325" s="93"/>
      <c r="P325" s="93"/>
      <c r="Q325" s="93"/>
      <c r="R325" s="93"/>
      <c r="S325" s="93"/>
      <c r="T325" s="93"/>
      <c r="U325" s="93"/>
      <c r="V325" s="340"/>
      <c r="W325" s="340"/>
      <c r="X325" s="340"/>
      <c r="Y325" s="340"/>
      <c r="Z325" s="93"/>
      <c r="AA325" s="93"/>
      <c r="AC325" s="337" t="s">
        <v>416</v>
      </c>
      <c r="AD325" s="337" t="s">
        <v>205</v>
      </c>
      <c r="AE325" s="337">
        <v>128</v>
      </c>
      <c r="AF325" s="338">
        <v>8</v>
      </c>
      <c r="AG325" s="93"/>
      <c r="AH325" s="337" t="s">
        <v>929</v>
      </c>
      <c r="AI325" s="337" t="s">
        <v>928</v>
      </c>
      <c r="AJ325" s="337">
        <v>370</v>
      </c>
      <c r="AK325" s="337">
        <v>74</v>
      </c>
    </row>
    <row r="326" spans="1:37" x14ac:dyDescent="0.3">
      <c r="A326" s="511"/>
      <c r="B326" s="93"/>
      <c r="C326" s="93"/>
      <c r="D326" s="93"/>
      <c r="E326" s="93"/>
      <c r="F326" s="286"/>
      <c r="G326" s="93"/>
      <c r="H326" s="93"/>
      <c r="I326" s="93"/>
      <c r="J326" s="93"/>
      <c r="K326" s="93"/>
      <c r="L326" s="93"/>
      <c r="M326" s="333"/>
      <c r="N326" s="334"/>
      <c r="O326" s="93"/>
      <c r="P326" s="93"/>
      <c r="Q326" s="93"/>
      <c r="R326" s="93"/>
      <c r="S326" s="93"/>
      <c r="T326" s="93"/>
      <c r="U326" s="93"/>
      <c r="V326" s="340"/>
      <c r="W326" s="340"/>
      <c r="X326" s="340"/>
      <c r="Y326" s="340"/>
      <c r="Z326" s="93"/>
      <c r="AA326" s="93"/>
      <c r="AC326" s="337" t="s">
        <v>305</v>
      </c>
      <c r="AD326" s="337" t="s">
        <v>205</v>
      </c>
      <c r="AE326" s="339">
        <v>1020</v>
      </c>
      <c r="AF326" s="338">
        <v>102</v>
      </c>
      <c r="AG326" s="93"/>
      <c r="AH326" s="337" t="s">
        <v>770</v>
      </c>
      <c r="AI326" s="337" t="s">
        <v>771</v>
      </c>
      <c r="AJ326" s="337">
        <v>465</v>
      </c>
      <c r="AK326" s="337">
        <v>20</v>
      </c>
    </row>
    <row r="327" spans="1:37" x14ac:dyDescent="0.3">
      <c r="A327" s="511"/>
      <c r="B327" s="93"/>
      <c r="C327" s="93"/>
      <c r="D327" s="93"/>
      <c r="E327" s="93"/>
      <c r="F327" s="286"/>
      <c r="G327" s="93"/>
      <c r="H327" s="93"/>
      <c r="I327" s="93"/>
      <c r="J327" s="93"/>
      <c r="K327" s="93"/>
      <c r="L327" s="93"/>
      <c r="M327" s="333"/>
      <c r="N327" s="334"/>
      <c r="O327" s="93"/>
      <c r="P327" s="93"/>
      <c r="Q327" s="93"/>
      <c r="R327" s="93"/>
      <c r="S327" s="93"/>
      <c r="T327" s="93"/>
      <c r="U327" s="93"/>
      <c r="V327" s="340"/>
      <c r="W327" s="340"/>
      <c r="X327" s="340"/>
      <c r="Y327" s="340"/>
      <c r="Z327" s="93"/>
      <c r="AA327" s="93"/>
      <c r="AC327" s="337" t="s">
        <v>401</v>
      </c>
      <c r="AD327" s="337" t="s">
        <v>205</v>
      </c>
      <c r="AE327" s="337">
        <v>420</v>
      </c>
      <c r="AF327" s="338">
        <v>42</v>
      </c>
      <c r="AG327" s="93"/>
      <c r="AH327" s="337" t="s">
        <v>772</v>
      </c>
      <c r="AI327" s="337" t="s">
        <v>311</v>
      </c>
      <c r="AJ327" s="337">
        <v>10.5</v>
      </c>
      <c r="AK327" s="337">
        <v>1</v>
      </c>
    </row>
    <row r="328" spans="1:37" x14ac:dyDescent="0.3">
      <c r="A328" s="511"/>
      <c r="B328" s="93"/>
      <c r="C328" s="93"/>
      <c r="D328" s="93"/>
      <c r="E328" s="93"/>
      <c r="F328" s="286"/>
      <c r="G328" s="93"/>
      <c r="H328" s="93"/>
      <c r="I328" s="93"/>
      <c r="J328" s="93"/>
      <c r="K328" s="93"/>
      <c r="L328" s="93"/>
      <c r="M328" s="333"/>
      <c r="N328" s="334"/>
      <c r="O328" s="93"/>
      <c r="P328" s="93"/>
      <c r="Q328" s="93"/>
      <c r="R328" s="93"/>
      <c r="S328" s="93"/>
      <c r="T328" s="93"/>
      <c r="U328" s="93"/>
      <c r="V328" s="340"/>
      <c r="W328" s="340"/>
      <c r="X328" s="340"/>
      <c r="Y328" s="340"/>
      <c r="Z328" s="93"/>
      <c r="AA328" s="93"/>
      <c r="AC328" s="337" t="s">
        <v>400</v>
      </c>
      <c r="AD328" s="337" t="s">
        <v>205</v>
      </c>
      <c r="AE328" s="337">
        <v>420</v>
      </c>
      <c r="AF328" s="338">
        <v>42</v>
      </c>
      <c r="AG328" s="93"/>
      <c r="AH328" s="337" t="s">
        <v>773</v>
      </c>
      <c r="AI328" s="337" t="s">
        <v>311</v>
      </c>
      <c r="AJ328" s="337">
        <v>23.4</v>
      </c>
      <c r="AK328" s="337">
        <v>117</v>
      </c>
    </row>
    <row r="329" spans="1:37" x14ac:dyDescent="0.3">
      <c r="A329" s="511"/>
      <c r="B329" s="93"/>
      <c r="C329" s="93"/>
      <c r="D329" s="93"/>
      <c r="E329" s="93"/>
      <c r="F329" s="286"/>
      <c r="G329" s="93"/>
      <c r="H329" s="93"/>
      <c r="I329" s="93"/>
      <c r="J329" s="93"/>
      <c r="K329" s="93"/>
      <c r="L329" s="93"/>
      <c r="M329" s="333"/>
      <c r="N329" s="334"/>
      <c r="O329" s="93"/>
      <c r="P329" s="93"/>
      <c r="Q329" s="93"/>
      <c r="R329" s="93"/>
      <c r="S329" s="93"/>
      <c r="T329" s="93"/>
      <c r="U329" s="93"/>
      <c r="V329" s="340"/>
      <c r="W329" s="340"/>
      <c r="X329" s="340"/>
      <c r="Y329" s="340"/>
      <c r="Z329" s="93"/>
      <c r="AA329" s="93"/>
      <c r="AC329" s="337" t="s">
        <v>690</v>
      </c>
      <c r="AD329" s="337" t="s">
        <v>205</v>
      </c>
      <c r="AE329" s="337">
        <v>100</v>
      </c>
      <c r="AF329" s="338">
        <v>10</v>
      </c>
      <c r="AG329" s="93"/>
      <c r="AH329" s="337" t="s">
        <v>310</v>
      </c>
      <c r="AI329" s="337" t="s">
        <v>311</v>
      </c>
      <c r="AJ329" s="337">
        <v>170</v>
      </c>
      <c r="AK329" s="337">
        <v>85</v>
      </c>
    </row>
    <row r="330" spans="1:37" x14ac:dyDescent="0.3">
      <c r="A330" s="511"/>
      <c r="B330" s="93"/>
      <c r="C330" s="93"/>
      <c r="D330" s="93"/>
      <c r="E330" s="93"/>
      <c r="F330" s="286"/>
      <c r="G330" s="93"/>
      <c r="H330" s="93"/>
      <c r="I330" s="93"/>
      <c r="J330" s="93"/>
      <c r="K330" s="93"/>
      <c r="L330" s="93"/>
      <c r="O330" s="93"/>
      <c r="P330" s="93"/>
      <c r="Q330" s="93"/>
      <c r="R330" s="93"/>
      <c r="S330" s="93"/>
      <c r="T330" s="93"/>
      <c r="U330" s="93"/>
      <c r="V330" s="340"/>
      <c r="W330" s="340"/>
      <c r="X330" s="341"/>
      <c r="Y330" s="340"/>
      <c r="Z330" s="93"/>
      <c r="AA330" s="93"/>
      <c r="AC330" s="337" t="s">
        <v>691</v>
      </c>
      <c r="AD330" s="337" t="s">
        <v>205</v>
      </c>
      <c r="AE330" s="337">
        <v>140</v>
      </c>
      <c r="AF330" s="338">
        <v>14</v>
      </c>
      <c r="AG330" s="93"/>
      <c r="AH330" s="337" t="s">
        <v>775</v>
      </c>
      <c r="AI330" s="337" t="s">
        <v>311</v>
      </c>
      <c r="AJ330" s="337">
        <v>96</v>
      </c>
      <c r="AK330" s="337">
        <v>12</v>
      </c>
    </row>
    <row r="331" spans="1:37" x14ac:dyDescent="0.3">
      <c r="A331" s="511"/>
      <c r="B331" s="93"/>
      <c r="C331" s="93"/>
      <c r="D331" s="252"/>
      <c r="E331" s="93"/>
      <c r="F331" s="286"/>
      <c r="G331" s="93"/>
      <c r="H331" s="93"/>
      <c r="I331" s="93"/>
      <c r="J331" s="93"/>
      <c r="K331" s="93"/>
      <c r="L331" s="93"/>
      <c r="O331" s="93"/>
      <c r="P331" s="93"/>
      <c r="Q331" s="93"/>
      <c r="R331" s="93"/>
      <c r="S331" s="93"/>
      <c r="T331" s="93"/>
      <c r="U331" s="93"/>
      <c r="V331" s="340"/>
      <c r="W331" s="340"/>
      <c r="X331" s="341"/>
      <c r="Y331" s="340"/>
      <c r="Z331" s="93"/>
      <c r="AA331" s="93"/>
      <c r="AC331" s="337" t="s">
        <v>211</v>
      </c>
      <c r="AD331" s="337" t="s">
        <v>205</v>
      </c>
      <c r="AE331" s="337">
        <v>272</v>
      </c>
      <c r="AF331" s="338">
        <v>16</v>
      </c>
      <c r="AG331" s="93"/>
      <c r="AH331" s="337" t="s">
        <v>779</v>
      </c>
      <c r="AI331" s="337" t="s">
        <v>311</v>
      </c>
      <c r="AJ331" s="337">
        <v>192</v>
      </c>
      <c r="AK331" s="337">
        <v>12</v>
      </c>
    </row>
    <row r="332" spans="1:37" x14ac:dyDescent="0.3">
      <c r="A332" s="511"/>
      <c r="B332" s="93"/>
      <c r="C332" s="93"/>
      <c r="D332" s="252"/>
      <c r="E332" s="93"/>
      <c r="F332" s="286"/>
      <c r="G332" s="93"/>
      <c r="H332" s="93"/>
      <c r="I332" s="93"/>
      <c r="J332" s="93"/>
      <c r="K332" s="93"/>
      <c r="L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C332" s="337" t="s">
        <v>316</v>
      </c>
      <c r="AD332" s="337" t="s">
        <v>205</v>
      </c>
      <c r="AE332" s="337">
        <v>292</v>
      </c>
      <c r="AF332" s="338">
        <v>48</v>
      </c>
      <c r="AG332" s="93"/>
      <c r="AH332" s="337" t="s">
        <v>970</v>
      </c>
      <c r="AI332" s="337" t="s">
        <v>971</v>
      </c>
      <c r="AJ332" s="337">
        <v>88</v>
      </c>
      <c r="AK332" s="337">
        <v>2</v>
      </c>
    </row>
    <row r="333" spans="1:37" x14ac:dyDescent="0.3">
      <c r="A333" s="511"/>
      <c r="B333" s="93"/>
      <c r="C333" s="93"/>
      <c r="D333" s="252"/>
      <c r="E333" s="93"/>
      <c r="F333" s="286"/>
      <c r="G333" s="93"/>
      <c r="H333" s="93"/>
      <c r="I333" s="93"/>
      <c r="J333" s="93"/>
      <c r="K333" s="93"/>
      <c r="L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C333" s="337" t="s">
        <v>389</v>
      </c>
      <c r="AD333" s="337" t="s">
        <v>205</v>
      </c>
      <c r="AE333" s="337">
        <v>52.8</v>
      </c>
      <c r="AF333" s="338">
        <v>12</v>
      </c>
      <c r="AG333" s="93"/>
      <c r="AH333" s="337" t="s">
        <v>972</v>
      </c>
      <c r="AI333" s="337" t="s">
        <v>971</v>
      </c>
      <c r="AJ333" s="337">
        <v>154</v>
      </c>
      <c r="AK333" s="337">
        <v>2</v>
      </c>
    </row>
    <row r="334" spans="1:37" x14ac:dyDescent="0.3">
      <c r="A334" s="511"/>
      <c r="B334" s="93"/>
      <c r="C334" s="93"/>
      <c r="D334" s="252"/>
      <c r="E334" s="93"/>
      <c r="F334" s="286"/>
      <c r="G334" s="252"/>
      <c r="H334" s="93"/>
      <c r="I334" s="93"/>
      <c r="J334" s="93"/>
      <c r="K334" s="93"/>
      <c r="L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C334" s="337" t="s">
        <v>692</v>
      </c>
      <c r="AD334" s="337" t="s">
        <v>205</v>
      </c>
      <c r="AE334" s="337">
        <v>70</v>
      </c>
      <c r="AF334" s="338">
        <v>20</v>
      </c>
      <c r="AG334" s="93"/>
      <c r="AH334" s="337" t="s">
        <v>525</v>
      </c>
      <c r="AI334" s="337" t="s">
        <v>313</v>
      </c>
      <c r="AJ334" s="337">
        <v>112</v>
      </c>
      <c r="AK334" s="337">
        <v>32</v>
      </c>
    </row>
    <row r="335" spans="1:37" x14ac:dyDescent="0.3">
      <c r="A335" s="511"/>
      <c r="B335" s="93"/>
      <c r="C335" s="93"/>
      <c r="D335" s="252"/>
      <c r="E335" s="93"/>
      <c r="F335" s="286"/>
      <c r="G335" s="252"/>
      <c r="H335" s="93"/>
      <c r="I335" s="93"/>
      <c r="J335" s="93"/>
      <c r="K335" s="93"/>
      <c r="L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C335" s="337" t="s">
        <v>848</v>
      </c>
      <c r="AD335" s="337" t="s">
        <v>205</v>
      </c>
      <c r="AE335" s="337">
        <v>8.5</v>
      </c>
      <c r="AF335" s="338">
        <v>4</v>
      </c>
      <c r="AG335" s="93"/>
      <c r="AH335" s="337" t="s">
        <v>583</v>
      </c>
      <c r="AI335" s="337" t="s">
        <v>313</v>
      </c>
      <c r="AJ335" s="337">
        <v>24.5</v>
      </c>
      <c r="AK335" s="337">
        <v>7</v>
      </c>
    </row>
    <row r="336" spans="1:37" ht="17.399999999999999" x14ac:dyDescent="0.35">
      <c r="A336" s="511"/>
      <c r="B336" s="164"/>
      <c r="C336" s="164"/>
      <c r="D336" s="165"/>
      <c r="E336" s="164"/>
      <c r="F336" s="287"/>
      <c r="G336" s="164"/>
      <c r="H336" s="164"/>
      <c r="I336" s="164"/>
      <c r="J336" s="164"/>
      <c r="K336" s="164"/>
      <c r="L336" s="93"/>
      <c r="M336" s="93"/>
      <c r="N336" s="93"/>
      <c r="O336" s="93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  <c r="AC336" s="337" t="s">
        <v>178</v>
      </c>
      <c r="AD336" s="337" t="s">
        <v>205</v>
      </c>
      <c r="AE336" s="337">
        <v>100.8</v>
      </c>
      <c r="AF336" s="338">
        <v>24</v>
      </c>
      <c r="AG336" s="93"/>
      <c r="AH336" s="337" t="s">
        <v>312</v>
      </c>
      <c r="AI336" s="337" t="s">
        <v>313</v>
      </c>
      <c r="AJ336" s="337">
        <v>13.2</v>
      </c>
      <c r="AK336" s="337">
        <v>4</v>
      </c>
    </row>
    <row r="337" spans="1:37" ht="17.399999999999999" x14ac:dyDescent="0.35">
      <c r="A337" s="511"/>
      <c r="B337" s="164"/>
      <c r="C337" s="164"/>
      <c r="D337" s="165"/>
      <c r="E337" s="164"/>
      <c r="F337" s="287"/>
      <c r="G337" s="164"/>
      <c r="H337" s="164"/>
      <c r="I337" s="164"/>
      <c r="J337" s="164"/>
      <c r="K337" s="164"/>
      <c r="L337" s="93"/>
      <c r="M337" s="93"/>
      <c r="N337" s="93"/>
      <c r="O337" s="93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  <c r="AC337" s="337" t="s">
        <v>700</v>
      </c>
      <c r="AD337" s="337" t="s">
        <v>205</v>
      </c>
      <c r="AE337" s="337">
        <v>46</v>
      </c>
      <c r="AF337" s="338">
        <v>20</v>
      </c>
      <c r="AG337" s="93"/>
      <c r="AH337" s="337" t="s">
        <v>782</v>
      </c>
      <c r="AI337" s="337" t="s">
        <v>313</v>
      </c>
      <c r="AJ337" s="337">
        <v>56</v>
      </c>
      <c r="AK337" s="337">
        <v>16</v>
      </c>
    </row>
    <row r="338" spans="1:37" ht="17.399999999999999" x14ac:dyDescent="0.35">
      <c r="A338" s="511"/>
      <c r="B338" s="164"/>
      <c r="C338" s="164"/>
      <c r="D338" s="165"/>
      <c r="E338" s="164"/>
      <c r="F338" s="287"/>
      <c r="G338" s="164"/>
      <c r="H338" s="164"/>
      <c r="I338" s="164"/>
      <c r="J338" s="164"/>
      <c r="K338" s="164"/>
      <c r="L338" s="93"/>
      <c r="M338" s="93"/>
      <c r="N338" s="93"/>
      <c r="O338" s="93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  <c r="AC338" s="337" t="s">
        <v>501</v>
      </c>
      <c r="AD338" s="337" t="s">
        <v>205</v>
      </c>
      <c r="AE338" s="337">
        <v>127.5</v>
      </c>
      <c r="AF338" s="338">
        <v>5</v>
      </c>
      <c r="AG338" s="93"/>
      <c r="AH338" s="337" t="s">
        <v>879</v>
      </c>
      <c r="AI338" s="337" t="s">
        <v>313</v>
      </c>
      <c r="AJ338" s="337">
        <v>162</v>
      </c>
      <c r="AK338" s="337">
        <v>12</v>
      </c>
    </row>
    <row r="339" spans="1:37" ht="17.399999999999999" x14ac:dyDescent="0.35">
      <c r="A339" s="511"/>
      <c r="B339" s="164"/>
      <c r="C339" s="164"/>
      <c r="D339" s="342">
        <f>SUM(D296:D322)</f>
        <v>286666.40000000002</v>
      </c>
      <c r="E339" s="164"/>
      <c r="F339" s="287"/>
      <c r="G339" s="164"/>
      <c r="H339" s="164"/>
      <c r="I339" s="342">
        <f>SUM(I296:I317)</f>
        <v>221316</v>
      </c>
      <c r="J339" s="164"/>
      <c r="K339" s="164"/>
      <c r="L339" s="164"/>
      <c r="M339" s="164"/>
      <c r="N339" s="342">
        <f>SUM(N296:N314)</f>
        <v>95281.8</v>
      </c>
      <c r="O339" s="164"/>
      <c r="P339" s="164"/>
      <c r="Q339" s="164"/>
      <c r="R339" s="164"/>
      <c r="S339" s="342">
        <f>SUM(S296:S338)</f>
        <v>249952</v>
      </c>
      <c r="T339" s="164"/>
      <c r="U339" s="164"/>
      <c r="V339" s="164"/>
      <c r="W339" s="164"/>
      <c r="X339" s="342">
        <f>SUM(X296:X333)</f>
        <v>81565.8</v>
      </c>
      <c r="Y339" s="164"/>
      <c r="Z339" s="164"/>
      <c r="AA339" s="164"/>
      <c r="AC339" s="337" t="s">
        <v>701</v>
      </c>
      <c r="AD339" s="337" t="s">
        <v>205</v>
      </c>
      <c r="AE339" s="337">
        <v>108</v>
      </c>
      <c r="AF339" s="338">
        <v>24</v>
      </c>
      <c r="AG339" s="93"/>
      <c r="AH339" s="337" t="s">
        <v>314</v>
      </c>
      <c r="AI339" s="337" t="s">
        <v>313</v>
      </c>
      <c r="AJ339" s="337">
        <v>8</v>
      </c>
      <c r="AK339" s="337">
        <v>4</v>
      </c>
    </row>
    <row r="340" spans="1:37" ht="17.399999999999999" x14ac:dyDescent="0.35">
      <c r="A340" s="511"/>
      <c r="B340" s="164"/>
      <c r="C340" s="164"/>
      <c r="D340" s="164"/>
      <c r="E340" s="164"/>
      <c r="F340" s="287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  <c r="AC340" s="337" t="s">
        <v>930</v>
      </c>
      <c r="AD340" s="337" t="s">
        <v>205</v>
      </c>
      <c r="AE340" s="337">
        <v>4</v>
      </c>
      <c r="AF340" s="338">
        <v>1</v>
      </c>
      <c r="AG340" s="93"/>
      <c r="AH340" s="337" t="s">
        <v>371</v>
      </c>
      <c r="AI340" s="337" t="s">
        <v>313</v>
      </c>
      <c r="AJ340" s="337">
        <v>222</v>
      </c>
      <c r="AK340" s="337">
        <v>60</v>
      </c>
    </row>
    <row r="341" spans="1:37" ht="17.399999999999999" x14ac:dyDescent="0.35">
      <c r="A341" s="511"/>
      <c r="B341" s="164"/>
      <c r="C341" s="164"/>
      <c r="D341" s="164"/>
      <c r="E341" s="164"/>
      <c r="F341" s="287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  <c r="AC341" s="337" t="s">
        <v>851</v>
      </c>
      <c r="AD341" s="337" t="s">
        <v>205</v>
      </c>
      <c r="AE341" s="337">
        <v>165</v>
      </c>
      <c r="AF341" s="338">
        <v>6</v>
      </c>
      <c r="AG341" s="93"/>
      <c r="AH341" s="337" t="s">
        <v>881</v>
      </c>
      <c r="AI341" s="337" t="s">
        <v>313</v>
      </c>
      <c r="AJ341" s="337">
        <v>21</v>
      </c>
      <c r="AK341" s="337">
        <v>8</v>
      </c>
    </row>
    <row r="342" spans="1:37" ht="17.399999999999999" x14ac:dyDescent="0.35">
      <c r="A342" s="511"/>
      <c r="B342" s="164"/>
      <c r="C342" s="343"/>
      <c r="D342" s="522" t="s">
        <v>219</v>
      </c>
      <c r="E342" s="523"/>
      <c r="F342" s="524" t="s">
        <v>220</v>
      </c>
      <c r="G342" s="524"/>
      <c r="H342" s="524" t="s">
        <v>221</v>
      </c>
      <c r="I342" s="524"/>
      <c r="J342" s="524" t="s">
        <v>222</v>
      </c>
      <c r="K342" s="524"/>
      <c r="L342" s="522" t="s">
        <v>223</v>
      </c>
      <c r="M342" s="523"/>
      <c r="N342" s="524" t="s">
        <v>224</v>
      </c>
      <c r="O342" s="524"/>
      <c r="P342" s="524" t="s">
        <v>225</v>
      </c>
      <c r="Q342" s="524"/>
      <c r="R342" s="524" t="s">
        <v>226</v>
      </c>
      <c r="S342" s="524"/>
      <c r="T342" s="524" t="s">
        <v>227</v>
      </c>
      <c r="U342" s="524"/>
      <c r="V342" s="524" t="s">
        <v>228</v>
      </c>
      <c r="W342" s="524"/>
      <c r="X342" s="524" t="s">
        <v>229</v>
      </c>
      <c r="Y342" s="524"/>
      <c r="Z342" s="524" t="s">
        <v>230</v>
      </c>
      <c r="AA342" s="524"/>
      <c r="AC342" s="337" t="s">
        <v>183</v>
      </c>
      <c r="AD342" s="337" t="s">
        <v>606</v>
      </c>
      <c r="AE342" s="337">
        <v>136</v>
      </c>
      <c r="AF342" s="338">
        <v>17</v>
      </c>
      <c r="AG342" s="93"/>
      <c r="AH342" s="337" t="s">
        <v>785</v>
      </c>
      <c r="AI342" s="337" t="s">
        <v>313</v>
      </c>
      <c r="AJ342" s="337">
        <v>82</v>
      </c>
      <c r="AK342" s="337">
        <v>23</v>
      </c>
    </row>
    <row r="343" spans="1:37" ht="17.399999999999999" x14ac:dyDescent="0.35">
      <c r="A343" s="511"/>
      <c r="B343" s="164"/>
      <c r="C343" s="344" t="s">
        <v>233</v>
      </c>
      <c r="D343" s="345">
        <v>124163</v>
      </c>
      <c r="E343" s="345">
        <f>D343/60</f>
        <v>2069.3833333333332</v>
      </c>
      <c r="F343" s="346">
        <v>226382</v>
      </c>
      <c r="G343" s="345">
        <v>3773.0333333333333</v>
      </c>
      <c r="H343" s="347">
        <v>262601</v>
      </c>
      <c r="I343" s="345">
        <f>H343/60</f>
        <v>4376.6833333333334</v>
      </c>
      <c r="J343" s="347">
        <f>I339</f>
        <v>221316</v>
      </c>
      <c r="K343" s="345">
        <f>J343/60</f>
        <v>3688.6</v>
      </c>
      <c r="L343" s="348"/>
      <c r="M343" s="343"/>
      <c r="N343" s="343"/>
      <c r="O343" s="343"/>
      <c r="P343" s="349"/>
      <c r="Q343" s="343"/>
      <c r="R343" s="349"/>
      <c r="S343" s="343"/>
      <c r="T343" s="349"/>
      <c r="U343" s="343"/>
      <c r="V343" s="349"/>
      <c r="W343" s="343"/>
      <c r="X343" s="349"/>
      <c r="Y343" s="343"/>
      <c r="Z343" s="349"/>
      <c r="AA343" s="343"/>
      <c r="AC343" s="337" t="s">
        <v>931</v>
      </c>
      <c r="AD343" s="337" t="s">
        <v>212</v>
      </c>
      <c r="AE343" s="337">
        <v>65</v>
      </c>
      <c r="AF343" s="338">
        <v>10</v>
      </c>
      <c r="AG343" s="93"/>
      <c r="AH343" s="337" t="s">
        <v>176</v>
      </c>
      <c r="AI343" s="337" t="s">
        <v>313</v>
      </c>
      <c r="AJ343" s="337">
        <v>262.8</v>
      </c>
      <c r="AK343" s="337">
        <v>36</v>
      </c>
    </row>
    <row r="344" spans="1:37" ht="17.399999999999999" x14ac:dyDescent="0.35">
      <c r="A344" s="511"/>
      <c r="B344" s="164"/>
      <c r="C344" s="344" t="s">
        <v>234</v>
      </c>
      <c r="D344" s="345">
        <v>172515.20000000001</v>
      </c>
      <c r="E344" s="345">
        <f>D344/60</f>
        <v>2875.2533333333336</v>
      </c>
      <c r="F344" s="346">
        <v>201945.40000000002</v>
      </c>
      <c r="G344" s="345">
        <v>3365.7566666666671</v>
      </c>
      <c r="H344" s="347">
        <v>229855</v>
      </c>
      <c r="I344" s="345">
        <f t="shared" ref="I344:I348" si="45">H344/60</f>
        <v>3830.9166666666665</v>
      </c>
      <c r="J344" s="347">
        <f>D339</f>
        <v>286666.40000000002</v>
      </c>
      <c r="K344" s="345">
        <f t="shared" ref="K344:K348" si="46">J344/60</f>
        <v>4777.7733333333335</v>
      </c>
      <c r="L344" s="343"/>
      <c r="M344" s="343"/>
      <c r="N344" s="343"/>
      <c r="O344" s="343"/>
      <c r="P344" s="349"/>
      <c r="Q344" s="343"/>
      <c r="R344" s="349"/>
      <c r="S344" s="343"/>
      <c r="T344" s="349"/>
      <c r="U344" s="343"/>
      <c r="V344" s="349"/>
      <c r="W344" s="343"/>
      <c r="X344" s="343"/>
      <c r="Y344" s="343"/>
      <c r="Z344" s="349"/>
      <c r="AA344" s="343"/>
      <c r="AC344" s="337" t="s">
        <v>213</v>
      </c>
      <c r="AD344" s="337" t="s">
        <v>212</v>
      </c>
      <c r="AE344" s="337">
        <v>126.5</v>
      </c>
      <c r="AF344" s="338">
        <v>23</v>
      </c>
      <c r="AG344" s="93"/>
      <c r="AH344" s="337" t="s">
        <v>787</v>
      </c>
      <c r="AI344" s="337" t="s">
        <v>313</v>
      </c>
      <c r="AJ344" s="337">
        <v>60.6</v>
      </c>
      <c r="AK344" s="337">
        <v>12</v>
      </c>
    </row>
    <row r="345" spans="1:37" ht="17.399999999999999" x14ac:dyDescent="0.35">
      <c r="A345" s="511"/>
      <c r="B345" s="164"/>
      <c r="C345" s="344" t="s">
        <v>236</v>
      </c>
      <c r="D345" s="345">
        <v>157647.1</v>
      </c>
      <c r="E345" s="345">
        <f t="shared" ref="E345:E347" si="47">D345/60</f>
        <v>2627.4516666666668</v>
      </c>
      <c r="F345" s="346">
        <v>173546</v>
      </c>
      <c r="G345" s="345">
        <v>2892.4333333333334</v>
      </c>
      <c r="H345" s="347">
        <v>231552.7</v>
      </c>
      <c r="I345" s="345">
        <f t="shared" si="45"/>
        <v>3859.211666666667</v>
      </c>
      <c r="J345" s="347">
        <f>S339</f>
        <v>249952</v>
      </c>
      <c r="K345" s="345">
        <f t="shared" si="46"/>
        <v>4165.8666666666668</v>
      </c>
      <c r="L345" s="343"/>
      <c r="M345" s="343"/>
      <c r="N345" s="343"/>
      <c r="O345" s="343"/>
      <c r="P345" s="349"/>
      <c r="Q345" s="343"/>
      <c r="R345" s="349"/>
      <c r="S345" s="343"/>
      <c r="T345" s="349"/>
      <c r="U345" s="343"/>
      <c r="V345" s="349"/>
      <c r="W345" s="343"/>
      <c r="X345" s="343"/>
      <c r="Y345" s="343"/>
      <c r="Z345" s="349"/>
      <c r="AA345" s="343"/>
      <c r="AC345" s="337" t="s">
        <v>187</v>
      </c>
      <c r="AD345" s="337" t="s">
        <v>212</v>
      </c>
      <c r="AE345" s="337">
        <v>128</v>
      </c>
      <c r="AF345" s="338">
        <v>16</v>
      </c>
      <c r="AG345" s="93"/>
      <c r="AH345" s="337" t="s">
        <v>788</v>
      </c>
      <c r="AI345" s="337" t="s">
        <v>313</v>
      </c>
      <c r="AJ345" s="337">
        <v>31.8</v>
      </c>
      <c r="AK345" s="337">
        <v>8</v>
      </c>
    </row>
    <row r="346" spans="1:37" ht="17.399999999999999" x14ac:dyDescent="0.35">
      <c r="A346" s="511"/>
      <c r="B346" s="164"/>
      <c r="C346" s="344" t="s">
        <v>237</v>
      </c>
      <c r="D346" s="345">
        <v>74670</v>
      </c>
      <c r="E346" s="345">
        <f t="shared" si="47"/>
        <v>1244.5</v>
      </c>
      <c r="F346" s="346">
        <v>96006.8</v>
      </c>
      <c r="G346" s="345">
        <v>1600.1133333333335</v>
      </c>
      <c r="H346" s="347">
        <v>138906.20000000001</v>
      </c>
      <c r="I346" s="345">
        <f t="shared" si="45"/>
        <v>2315.1033333333335</v>
      </c>
      <c r="J346" s="347">
        <f>N339</f>
        <v>95281.8</v>
      </c>
      <c r="K346" s="345">
        <f t="shared" si="46"/>
        <v>1588.03</v>
      </c>
      <c r="L346" s="343"/>
      <c r="M346" s="343"/>
      <c r="N346" s="343"/>
      <c r="O346" s="343"/>
      <c r="P346" s="349"/>
      <c r="Q346" s="343"/>
      <c r="R346" s="349"/>
      <c r="S346" s="343"/>
      <c r="T346" s="349"/>
      <c r="U346" s="343"/>
      <c r="V346" s="349"/>
      <c r="W346" s="343"/>
      <c r="X346" s="343"/>
      <c r="Y346" s="343"/>
      <c r="Z346" s="349"/>
      <c r="AA346" s="343"/>
      <c r="AC346" s="337" t="s">
        <v>934</v>
      </c>
      <c r="AD346" s="337" t="s">
        <v>330</v>
      </c>
      <c r="AE346" s="337">
        <v>54</v>
      </c>
      <c r="AF346" s="338">
        <v>9</v>
      </c>
      <c r="AG346" s="93"/>
      <c r="AH346" s="337" t="s">
        <v>932</v>
      </c>
      <c r="AI346" s="337" t="s">
        <v>313</v>
      </c>
      <c r="AJ346" s="337">
        <v>35</v>
      </c>
      <c r="AK346" s="337">
        <v>20</v>
      </c>
    </row>
    <row r="347" spans="1:37" ht="17.399999999999999" x14ac:dyDescent="0.35">
      <c r="A347" s="511"/>
      <c r="B347" s="164"/>
      <c r="C347" s="344" t="s">
        <v>238</v>
      </c>
      <c r="D347" s="345">
        <v>6660.85</v>
      </c>
      <c r="E347" s="345">
        <f t="shared" si="47"/>
        <v>111.01416666666667</v>
      </c>
      <c r="F347" s="346">
        <v>46265.5</v>
      </c>
      <c r="G347" s="345">
        <v>771.0916666666667</v>
      </c>
      <c r="H347" s="347">
        <v>90103.58</v>
      </c>
      <c r="I347" s="345">
        <f t="shared" si="45"/>
        <v>1501.7263333333333</v>
      </c>
      <c r="J347" s="347">
        <f>X339</f>
        <v>81565.8</v>
      </c>
      <c r="K347" s="345">
        <f t="shared" si="46"/>
        <v>1359.43</v>
      </c>
      <c r="L347" s="350"/>
      <c r="M347" s="343"/>
      <c r="N347" s="350"/>
      <c r="O347" s="343"/>
      <c r="P347" s="351"/>
      <c r="Q347" s="343"/>
      <c r="R347" s="351"/>
      <c r="S347" s="343"/>
      <c r="T347" s="351"/>
      <c r="U347" s="343"/>
      <c r="V347" s="351"/>
      <c r="W347" s="343"/>
      <c r="X347" s="350"/>
      <c r="Y347" s="343"/>
      <c r="Z347" s="350"/>
      <c r="AA347" s="343"/>
      <c r="AC347" s="337" t="s">
        <v>936</v>
      </c>
      <c r="AD347" s="337" t="s">
        <v>937</v>
      </c>
      <c r="AE347" s="337">
        <v>465</v>
      </c>
      <c r="AF347" s="338">
        <v>1</v>
      </c>
      <c r="AG347" s="93"/>
      <c r="AH347" s="337" t="s">
        <v>933</v>
      </c>
      <c r="AI347" s="337" t="s">
        <v>313</v>
      </c>
      <c r="AJ347" s="337">
        <v>2.5</v>
      </c>
      <c r="AK347" s="337">
        <v>1</v>
      </c>
    </row>
    <row r="348" spans="1:37" ht="17.399999999999999" x14ac:dyDescent="0.35">
      <c r="A348" s="511"/>
      <c r="B348" s="265"/>
      <c r="C348" s="344" t="s">
        <v>239</v>
      </c>
      <c r="D348" s="345">
        <v>3672</v>
      </c>
      <c r="E348" s="345">
        <f>D348/60</f>
        <v>61.2</v>
      </c>
      <c r="F348" s="346">
        <v>72295.34</v>
      </c>
      <c r="G348" s="345">
        <v>1204.9223333333332</v>
      </c>
      <c r="H348" s="347">
        <v>69349.39999999998</v>
      </c>
      <c r="I348" s="345">
        <f t="shared" si="45"/>
        <v>1155.823333333333</v>
      </c>
      <c r="J348" s="347">
        <f>AJ392</f>
        <v>60896.53</v>
      </c>
      <c r="K348" s="345">
        <f t="shared" si="46"/>
        <v>1014.9421666666666</v>
      </c>
      <c r="L348" s="343"/>
      <c r="M348" s="343"/>
      <c r="N348" s="343"/>
      <c r="O348" s="343"/>
      <c r="P348" s="343"/>
      <c r="Q348" s="343"/>
      <c r="R348" s="343"/>
      <c r="S348" s="343"/>
      <c r="T348" s="343"/>
      <c r="U348" s="343"/>
      <c r="V348" s="343"/>
      <c r="W348" s="343"/>
      <c r="X348" s="343"/>
      <c r="Y348" s="343"/>
      <c r="Z348" s="343"/>
      <c r="AA348" s="343"/>
      <c r="AC348" s="337" t="s">
        <v>939</v>
      </c>
      <c r="AD348" s="337" t="s">
        <v>937</v>
      </c>
      <c r="AE348" s="339">
        <v>4050</v>
      </c>
      <c r="AF348" s="338">
        <v>9</v>
      </c>
      <c r="AG348" s="93"/>
      <c r="AH348" s="337" t="s">
        <v>935</v>
      </c>
      <c r="AI348" s="337" t="s">
        <v>313</v>
      </c>
      <c r="AJ348" s="337">
        <v>105</v>
      </c>
      <c r="AK348" s="337">
        <v>15</v>
      </c>
    </row>
    <row r="349" spans="1:37" ht="17.399999999999999" x14ac:dyDescent="0.35">
      <c r="A349" s="511"/>
      <c r="B349" s="164"/>
      <c r="C349" s="162"/>
      <c r="D349" s="163"/>
      <c r="E349" s="352">
        <f>SUM(E343:E348)</f>
        <v>8988.8024999999998</v>
      </c>
      <c r="F349" s="353"/>
      <c r="G349" s="352">
        <f>SUM(G343:G348)</f>
        <v>13607.350666666669</v>
      </c>
      <c r="H349" s="347"/>
      <c r="I349" s="352">
        <f>SUM(I343:I348)</f>
        <v>17039.464666666667</v>
      </c>
      <c r="J349" s="347"/>
      <c r="K349" s="375">
        <f>SUM(K343:K348)</f>
        <v>16594.642166666668</v>
      </c>
      <c r="L349" s="343"/>
      <c r="M349" s="354"/>
      <c r="N349" s="343"/>
      <c r="O349" s="354"/>
      <c r="P349" s="343"/>
      <c r="Q349" s="354"/>
      <c r="R349" s="343"/>
      <c r="S349" s="355"/>
      <c r="T349" s="343"/>
      <c r="U349" s="354"/>
      <c r="V349" s="343"/>
      <c r="W349" s="354"/>
      <c r="X349" s="343"/>
      <c r="Y349" s="354"/>
      <c r="Z349" s="343"/>
      <c r="AA349" s="356"/>
      <c r="AC349" s="337" t="s">
        <v>942</v>
      </c>
      <c r="AD349" s="337" t="s">
        <v>650</v>
      </c>
      <c r="AE349" s="337">
        <v>95.5</v>
      </c>
      <c r="AF349" s="338">
        <v>15</v>
      </c>
      <c r="AG349" s="93"/>
      <c r="AH349" s="337" t="s">
        <v>938</v>
      </c>
      <c r="AI349" s="337" t="s">
        <v>313</v>
      </c>
      <c r="AJ349" s="337">
        <v>281.60000000000002</v>
      </c>
      <c r="AK349" s="337">
        <v>22</v>
      </c>
    </row>
    <row r="350" spans="1:37" ht="17.399999999999999" x14ac:dyDescent="0.35">
      <c r="A350" s="511"/>
      <c r="B350" s="164"/>
      <c r="C350" s="164"/>
      <c r="D350" s="164"/>
      <c r="E350" s="164"/>
      <c r="F350" s="287"/>
      <c r="G350" s="164"/>
      <c r="H350" s="164"/>
      <c r="I350" s="164"/>
      <c r="J350" s="164"/>
      <c r="K350" s="164"/>
      <c r="L350" s="164"/>
      <c r="M350" s="165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  <c r="AC350" s="337" t="s">
        <v>734</v>
      </c>
      <c r="AD350" s="337" t="s">
        <v>347</v>
      </c>
      <c r="AE350" s="337">
        <v>54</v>
      </c>
      <c r="AF350" s="338">
        <v>12</v>
      </c>
      <c r="AG350" s="93"/>
      <c r="AH350" s="337" t="s">
        <v>940</v>
      </c>
      <c r="AI350" s="337" t="s">
        <v>941</v>
      </c>
      <c r="AJ350" s="337">
        <v>27</v>
      </c>
      <c r="AK350" s="337">
        <v>12</v>
      </c>
    </row>
    <row r="351" spans="1:37" x14ac:dyDescent="0.3">
      <c r="A351" s="511"/>
      <c r="B351" s="93"/>
      <c r="C351" s="93"/>
      <c r="D351" s="93"/>
      <c r="E351" s="93"/>
      <c r="F351" s="286"/>
      <c r="G351" s="93"/>
      <c r="H351" s="93"/>
      <c r="I351" s="93"/>
      <c r="J351" s="93"/>
      <c r="K351" s="93"/>
      <c r="L351" s="93"/>
      <c r="M351" s="93"/>
      <c r="N351" s="252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C351" s="337" t="s">
        <v>168</v>
      </c>
      <c r="AD351" s="337" t="s">
        <v>348</v>
      </c>
      <c r="AE351" s="337">
        <v>526.41999999999996</v>
      </c>
      <c r="AF351" s="338">
        <v>161</v>
      </c>
      <c r="AG351" s="93"/>
      <c r="AH351" s="337" t="s">
        <v>943</v>
      </c>
      <c r="AI351" s="337" t="s">
        <v>941</v>
      </c>
      <c r="AJ351" s="337">
        <v>30</v>
      </c>
      <c r="AK351" s="337">
        <v>10</v>
      </c>
    </row>
    <row r="352" spans="1:37" x14ac:dyDescent="0.3">
      <c r="A352" s="511"/>
      <c r="B352" s="93"/>
      <c r="C352" s="93"/>
      <c r="D352" s="93"/>
      <c r="E352" s="93"/>
      <c r="F352" s="286"/>
      <c r="G352" s="93"/>
      <c r="H352" s="93"/>
      <c r="I352" s="93"/>
      <c r="J352" s="93"/>
      <c r="K352" s="93"/>
      <c r="L352" s="208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C352" s="337" t="s">
        <v>737</v>
      </c>
      <c r="AD352" s="337" t="s">
        <v>348</v>
      </c>
      <c r="AE352" s="337">
        <v>60</v>
      </c>
      <c r="AF352" s="338">
        <v>12</v>
      </c>
      <c r="AG352" s="93"/>
      <c r="AH352" s="337" t="s">
        <v>944</v>
      </c>
      <c r="AI352" s="337" t="s">
        <v>945</v>
      </c>
      <c r="AJ352" s="337">
        <v>21.6</v>
      </c>
      <c r="AK352" s="337">
        <v>12</v>
      </c>
    </row>
    <row r="353" spans="1:37" x14ac:dyDescent="0.3">
      <c r="A353" s="511"/>
      <c r="B353" s="93"/>
      <c r="C353" s="93"/>
      <c r="D353" s="93"/>
      <c r="E353" s="93"/>
      <c r="F353" s="286"/>
      <c r="G353" s="93"/>
      <c r="H353" s="93"/>
      <c r="I353" s="93"/>
      <c r="J353" s="93"/>
      <c r="K353" s="93"/>
      <c r="L353" s="208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C353" s="337" t="s">
        <v>392</v>
      </c>
      <c r="AD353" s="337" t="s">
        <v>393</v>
      </c>
      <c r="AE353" s="337">
        <v>64</v>
      </c>
      <c r="AF353" s="338">
        <v>16</v>
      </c>
      <c r="AG353" s="93"/>
      <c r="AH353" s="337" t="s">
        <v>946</v>
      </c>
      <c r="AI353" s="337" t="s">
        <v>945</v>
      </c>
      <c r="AJ353" s="337">
        <v>30</v>
      </c>
      <c r="AK353" s="337">
        <v>10</v>
      </c>
    </row>
    <row r="354" spans="1:37" ht="15" thickBot="1" x14ac:dyDescent="0.35">
      <c r="A354" s="511"/>
      <c r="B354" s="93"/>
      <c r="C354" s="93"/>
      <c r="D354" s="93"/>
      <c r="E354" s="93"/>
      <c r="F354" s="286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C354" s="337" t="s">
        <v>240</v>
      </c>
      <c r="AD354" s="337" t="s">
        <v>560</v>
      </c>
      <c r="AE354" s="337">
        <v>405.6</v>
      </c>
      <c r="AF354" s="338">
        <v>676</v>
      </c>
      <c r="AG354" s="93"/>
      <c r="AH354" s="337" t="s">
        <v>504</v>
      </c>
      <c r="AI354" s="337" t="s">
        <v>315</v>
      </c>
      <c r="AJ354" s="337">
        <v>198</v>
      </c>
      <c r="AK354" s="337">
        <v>36</v>
      </c>
    </row>
    <row r="355" spans="1:37" ht="31.8" thickBot="1" x14ac:dyDescent="0.65">
      <c r="A355" s="511"/>
      <c r="B355" s="525" t="s">
        <v>246</v>
      </c>
      <c r="C355" s="525"/>
      <c r="D355" s="525"/>
      <c r="E355" s="525"/>
      <c r="F355" s="525"/>
      <c r="G355" s="525"/>
      <c r="H355" s="525"/>
      <c r="I355" s="525"/>
      <c r="J355" s="525"/>
      <c r="K355" s="525"/>
      <c r="L355" s="525"/>
      <c r="M355" s="525"/>
      <c r="N355" s="525"/>
      <c r="O355" s="525"/>
      <c r="P355" s="525"/>
      <c r="Q355" s="525"/>
      <c r="R355" s="525"/>
      <c r="S355" s="525"/>
      <c r="T355" s="525"/>
      <c r="U355" s="525"/>
      <c r="V355" s="525"/>
      <c r="W355" s="525"/>
      <c r="X355" s="525"/>
      <c r="Y355" s="525"/>
      <c r="Z355" s="525"/>
      <c r="AA355" s="526"/>
      <c r="AC355" s="337" t="s">
        <v>950</v>
      </c>
      <c r="AD355" s="337" t="s">
        <v>456</v>
      </c>
      <c r="AE355" s="337">
        <v>18.2</v>
      </c>
      <c r="AF355" s="338">
        <v>1</v>
      </c>
      <c r="AG355" s="93"/>
      <c r="AH355" s="337" t="s">
        <v>947</v>
      </c>
      <c r="AI355" s="337" t="s">
        <v>948</v>
      </c>
      <c r="AJ355" s="337">
        <v>12</v>
      </c>
      <c r="AK355" s="337">
        <v>4</v>
      </c>
    </row>
    <row r="356" spans="1:37" ht="17.399999999999999" thickBot="1" x14ac:dyDescent="0.35">
      <c r="A356" s="511"/>
      <c r="B356" s="527"/>
      <c r="C356" s="527"/>
      <c r="D356" s="166" t="s">
        <v>247</v>
      </c>
      <c r="E356" s="167" t="s">
        <v>248</v>
      </c>
      <c r="F356" s="374" t="s">
        <v>249</v>
      </c>
      <c r="G356" s="167" t="s">
        <v>250</v>
      </c>
      <c r="H356" s="166" t="s">
        <v>251</v>
      </c>
      <c r="I356" s="167" t="s">
        <v>252</v>
      </c>
      <c r="J356" s="166" t="s">
        <v>253</v>
      </c>
      <c r="K356" s="167" t="s">
        <v>254</v>
      </c>
      <c r="L356" s="166" t="s">
        <v>255</v>
      </c>
      <c r="M356" s="167" t="s">
        <v>256</v>
      </c>
      <c r="N356" s="168" t="s">
        <v>257</v>
      </c>
      <c r="O356" s="169" t="s">
        <v>258</v>
      </c>
      <c r="P356" s="166" t="s">
        <v>259</v>
      </c>
      <c r="Q356" s="167" t="s">
        <v>260</v>
      </c>
      <c r="R356" s="166" t="s">
        <v>261</v>
      </c>
      <c r="S356" s="167" t="s">
        <v>262</v>
      </c>
      <c r="T356" s="166" t="s">
        <v>263</v>
      </c>
      <c r="U356" s="166" t="s">
        <v>264</v>
      </c>
      <c r="V356" s="166" t="s">
        <v>265</v>
      </c>
      <c r="W356" s="170" t="s">
        <v>266</v>
      </c>
      <c r="X356" s="166" t="s">
        <v>267</v>
      </c>
      <c r="Y356" s="170" t="s">
        <v>268</v>
      </c>
      <c r="Z356" s="166" t="s">
        <v>269</v>
      </c>
      <c r="AA356" s="170" t="s">
        <v>270</v>
      </c>
      <c r="AC356" s="337" t="s">
        <v>952</v>
      </c>
      <c r="AD356" s="337" t="s">
        <v>242</v>
      </c>
      <c r="AE356" s="337">
        <v>240.8</v>
      </c>
      <c r="AF356" s="338">
        <v>4</v>
      </c>
      <c r="AG356" s="93"/>
      <c r="AH356" s="337" t="s">
        <v>949</v>
      </c>
      <c r="AI356" s="337" t="s">
        <v>948</v>
      </c>
      <c r="AJ356" s="337">
        <v>12</v>
      </c>
      <c r="AK356" s="337">
        <v>4</v>
      </c>
    </row>
    <row r="357" spans="1:37" ht="17.399999999999999" x14ac:dyDescent="0.35">
      <c r="A357" s="511"/>
      <c r="B357" s="357">
        <v>110012</v>
      </c>
      <c r="C357" s="171" t="s">
        <v>272</v>
      </c>
      <c r="D357" s="372">
        <v>707750.65</v>
      </c>
      <c r="E357" s="204">
        <f>D357/60</f>
        <v>11795.844166666668</v>
      </c>
      <c r="F357" s="372">
        <v>953892</v>
      </c>
      <c r="G357" s="204">
        <f>F357/60</f>
        <v>15898.2</v>
      </c>
      <c r="H357" s="372">
        <v>1116136.94</v>
      </c>
      <c r="I357" s="204">
        <f>H357/60</f>
        <v>18602.282333333333</v>
      </c>
      <c r="J357" s="372">
        <v>995678.48999999976</v>
      </c>
      <c r="K357" s="376">
        <f>J357/60</f>
        <v>16594.641499999994</v>
      </c>
      <c r="L357" s="172"/>
      <c r="M357" s="173">
        <f>L357/60</f>
        <v>0</v>
      </c>
      <c r="N357" s="176"/>
      <c r="O357" s="173">
        <f>N357/60</f>
        <v>0</v>
      </c>
      <c r="P357" s="177"/>
      <c r="Q357" s="173">
        <f>P357/60</f>
        <v>0</v>
      </c>
      <c r="R357" s="176"/>
      <c r="S357" s="173">
        <f>R357/60</f>
        <v>0</v>
      </c>
      <c r="T357" s="176"/>
      <c r="U357" s="173">
        <f>T357/60</f>
        <v>0</v>
      </c>
      <c r="V357" s="176"/>
      <c r="W357" s="173">
        <f>V357/60</f>
        <v>0</v>
      </c>
      <c r="X357" s="176"/>
      <c r="Y357" s="173">
        <f>X357/60</f>
        <v>0</v>
      </c>
      <c r="Z357" s="176"/>
      <c r="AA357" s="173">
        <f>Z357/60</f>
        <v>0</v>
      </c>
      <c r="AC357" s="337" t="s">
        <v>349</v>
      </c>
      <c r="AD357" s="337" t="s">
        <v>242</v>
      </c>
      <c r="AE357" s="337">
        <v>209.54</v>
      </c>
      <c r="AF357" s="338">
        <v>3</v>
      </c>
      <c r="AG357" s="93"/>
      <c r="AH357" s="337" t="s">
        <v>951</v>
      </c>
      <c r="AI357" s="337" t="s">
        <v>948</v>
      </c>
      <c r="AJ357" s="339">
        <v>1029</v>
      </c>
      <c r="AK357" s="337">
        <v>7</v>
      </c>
    </row>
    <row r="358" spans="1:37" ht="17.399999999999999" x14ac:dyDescent="0.35">
      <c r="A358" s="511"/>
      <c r="B358" s="358">
        <v>110050</v>
      </c>
      <c r="C358" s="178" t="s">
        <v>274</v>
      </c>
      <c r="D358" s="372">
        <v>95098.28</v>
      </c>
      <c r="E358" s="281">
        <f>D358/60</f>
        <v>1584.9713333333334</v>
      </c>
      <c r="F358" s="372">
        <v>142327.5</v>
      </c>
      <c r="G358" s="281">
        <f>F358/60</f>
        <v>2372.125</v>
      </c>
      <c r="H358" s="372">
        <v>150523.96</v>
      </c>
      <c r="I358" s="281">
        <f>H358/60</f>
        <v>2508.7326666666663</v>
      </c>
      <c r="J358" s="372">
        <v>134640.28000000003</v>
      </c>
      <c r="K358" s="180">
        <f>J358/60</f>
        <v>2244.0046666666672</v>
      </c>
      <c r="L358" s="179"/>
      <c r="M358" s="180">
        <f>L358/60</f>
        <v>0</v>
      </c>
      <c r="N358" s="182"/>
      <c r="O358" s="180">
        <f>N358/60</f>
        <v>0</v>
      </c>
      <c r="P358" s="183"/>
      <c r="Q358" s="180">
        <f>P358/60</f>
        <v>0</v>
      </c>
      <c r="R358" s="182"/>
      <c r="S358" s="180">
        <f>R358/60</f>
        <v>0</v>
      </c>
      <c r="T358" s="182"/>
      <c r="U358" s="184">
        <f>T358/60</f>
        <v>0</v>
      </c>
      <c r="V358" s="182"/>
      <c r="W358" s="184">
        <f>V358/60</f>
        <v>0</v>
      </c>
      <c r="X358" s="182"/>
      <c r="Y358" s="184">
        <f>X358/60</f>
        <v>0</v>
      </c>
      <c r="Z358" s="182"/>
      <c r="AA358" s="184">
        <f>Z358/60</f>
        <v>0</v>
      </c>
      <c r="AC358" s="337" t="s">
        <v>518</v>
      </c>
      <c r="AD358" s="337" t="s">
        <v>242</v>
      </c>
      <c r="AE358" s="337">
        <v>72</v>
      </c>
      <c r="AF358" s="338">
        <v>4</v>
      </c>
      <c r="AG358" s="93"/>
      <c r="AH358" s="337" t="s">
        <v>953</v>
      </c>
      <c r="AI358" s="337" t="s">
        <v>948</v>
      </c>
      <c r="AJ358" s="337">
        <v>28</v>
      </c>
      <c r="AK358" s="337">
        <v>4</v>
      </c>
    </row>
    <row r="359" spans="1:37" ht="17.399999999999999" x14ac:dyDescent="0.35">
      <c r="A359" s="511"/>
      <c r="B359" s="358">
        <v>110051</v>
      </c>
      <c r="C359" s="178" t="s">
        <v>276</v>
      </c>
      <c r="D359" s="372">
        <v>55925.482000000004</v>
      </c>
      <c r="E359" s="281">
        <f t="shared" ref="E359:E360" si="48">D359/60</f>
        <v>932.09136666666677</v>
      </c>
      <c r="F359" s="372">
        <v>110164.546</v>
      </c>
      <c r="G359" s="281">
        <f>F359/60</f>
        <v>1836.0757666666666</v>
      </c>
      <c r="H359" s="372">
        <v>96142.494999999995</v>
      </c>
      <c r="I359" s="281">
        <f>H359/60</f>
        <v>1602.3749166666666</v>
      </c>
      <c r="J359" s="372">
        <v>86890.055999999953</v>
      </c>
      <c r="K359" s="180">
        <f>J359/60</f>
        <v>1448.1675999999993</v>
      </c>
      <c r="L359" s="179"/>
      <c r="M359" s="180">
        <f>L359/60</f>
        <v>0</v>
      </c>
      <c r="N359" s="182"/>
      <c r="O359" s="180">
        <f>N359/60</f>
        <v>0</v>
      </c>
      <c r="P359" s="183"/>
      <c r="Q359" s="180">
        <f>P359/60</f>
        <v>0</v>
      </c>
      <c r="R359" s="182"/>
      <c r="S359" s="180">
        <f>R359/60</f>
        <v>0</v>
      </c>
      <c r="T359" s="182"/>
      <c r="U359" s="184">
        <f>T359/60</f>
        <v>0</v>
      </c>
      <c r="V359" s="182"/>
      <c r="W359" s="184">
        <f>V359/60</f>
        <v>0</v>
      </c>
      <c r="X359" s="182"/>
      <c r="Y359" s="184">
        <f>X359/60</f>
        <v>0</v>
      </c>
      <c r="Z359" s="182"/>
      <c r="AA359" s="184">
        <f>Z359/60</f>
        <v>0</v>
      </c>
      <c r="AC359" s="337" t="s">
        <v>955</v>
      </c>
      <c r="AD359" s="337" t="s">
        <v>242</v>
      </c>
      <c r="AE359" s="337">
        <v>182</v>
      </c>
      <c r="AF359" s="338">
        <v>4</v>
      </c>
      <c r="AG359" s="93"/>
      <c r="AH359" s="337" t="s">
        <v>954</v>
      </c>
      <c r="AI359" s="337" t="s">
        <v>948</v>
      </c>
      <c r="AJ359" s="337">
        <v>150</v>
      </c>
      <c r="AK359" s="337">
        <v>30</v>
      </c>
    </row>
    <row r="360" spans="1:37" ht="17.399999999999999" x14ac:dyDescent="0.35">
      <c r="A360" s="511"/>
      <c r="B360" s="358">
        <v>110015</v>
      </c>
      <c r="C360" s="178" t="s">
        <v>278</v>
      </c>
      <c r="D360" s="372">
        <v>66273.13</v>
      </c>
      <c r="E360" s="281">
        <f t="shared" si="48"/>
        <v>1104.5521666666668</v>
      </c>
      <c r="F360" s="372">
        <v>119406.5</v>
      </c>
      <c r="G360" s="281">
        <f t="shared" ref="G360" si="49">F360/60</f>
        <v>1990.1083333333333</v>
      </c>
      <c r="H360" s="372">
        <v>137329.85</v>
      </c>
      <c r="I360" s="308"/>
      <c r="J360" s="372">
        <v>104297.36000000003</v>
      </c>
      <c r="K360" s="185"/>
      <c r="L360" s="179"/>
      <c r="M360" s="185"/>
      <c r="N360" s="182"/>
      <c r="O360" s="185"/>
      <c r="P360" s="183"/>
      <c r="Q360" s="185"/>
      <c r="R360" s="182"/>
      <c r="S360" s="185"/>
      <c r="T360" s="182"/>
      <c r="U360" s="185"/>
      <c r="V360" s="182"/>
      <c r="W360" s="185"/>
      <c r="X360" s="182"/>
      <c r="Y360" s="185"/>
      <c r="Z360" s="182"/>
      <c r="AA360" s="185"/>
      <c r="AC360" s="337" t="s">
        <v>956</v>
      </c>
      <c r="AD360" s="337" t="s">
        <v>242</v>
      </c>
      <c r="AE360" s="337">
        <v>182</v>
      </c>
      <c r="AF360" s="338">
        <v>4</v>
      </c>
      <c r="AG360" s="93"/>
      <c r="AH360" s="337" t="s">
        <v>410</v>
      </c>
      <c r="AI360" s="337" t="s">
        <v>411</v>
      </c>
      <c r="AJ360" s="337">
        <v>64</v>
      </c>
      <c r="AK360" s="337">
        <v>16</v>
      </c>
    </row>
    <row r="361" spans="1:37" ht="17.399999999999999" x14ac:dyDescent="0.35">
      <c r="A361" s="511"/>
      <c r="B361" s="358">
        <v>110011</v>
      </c>
      <c r="C361" s="178" t="s">
        <v>281</v>
      </c>
      <c r="D361" s="372">
        <v>36110.400000000001</v>
      </c>
      <c r="E361" s="281">
        <f>D361/60</f>
        <v>601.84</v>
      </c>
      <c r="F361" s="372">
        <v>56314.400000000001</v>
      </c>
      <c r="G361" s="281">
        <f>F361/60</f>
        <v>938.57333333333338</v>
      </c>
      <c r="H361" s="372">
        <v>63351.4</v>
      </c>
      <c r="I361" s="308"/>
      <c r="J361" s="372">
        <v>52454.400000000009</v>
      </c>
      <c r="K361" s="185"/>
      <c r="L361" s="179"/>
      <c r="M361" s="185"/>
      <c r="N361" s="182"/>
      <c r="O361" s="185"/>
      <c r="P361" s="183"/>
      <c r="Q361" s="185"/>
      <c r="R361" s="182"/>
      <c r="S361" s="185"/>
      <c r="T361" s="182"/>
      <c r="U361" s="185"/>
      <c r="V361" s="182"/>
      <c r="W361" s="185"/>
      <c r="X361" s="182"/>
      <c r="Y361" s="185"/>
      <c r="Z361" s="182"/>
      <c r="AA361" s="185"/>
      <c r="AC361" s="337" t="s">
        <v>957</v>
      </c>
      <c r="AD361" s="337" t="s">
        <v>242</v>
      </c>
      <c r="AE361" s="337">
        <v>72</v>
      </c>
      <c r="AF361" s="338">
        <v>4</v>
      </c>
      <c r="AG361" s="93"/>
      <c r="AH361" s="337" t="s">
        <v>791</v>
      </c>
      <c r="AI361" s="337" t="s">
        <v>792</v>
      </c>
      <c r="AJ361" s="337">
        <v>21.6</v>
      </c>
      <c r="AK361" s="337">
        <v>12</v>
      </c>
    </row>
    <row r="362" spans="1:37" ht="17.399999999999999" x14ac:dyDescent="0.35">
      <c r="A362" s="511"/>
      <c r="B362" s="358"/>
      <c r="C362" s="178" t="s">
        <v>283</v>
      </c>
      <c r="D362" s="206">
        <f>SUM(D360:D361)</f>
        <v>102383.53</v>
      </c>
      <c r="E362" s="281">
        <f>D362/60</f>
        <v>1706.3921666666668</v>
      </c>
      <c r="F362" s="206">
        <v>175720.9</v>
      </c>
      <c r="G362" s="281">
        <v>2928.6816666666664</v>
      </c>
      <c r="H362" s="206">
        <f>SUM(H360:H361)</f>
        <v>200681.25</v>
      </c>
      <c r="I362" s="281">
        <f>H362/60</f>
        <v>3344.6875</v>
      </c>
      <c r="J362" s="206">
        <f>SUM(J360:J361)</f>
        <v>156751.76000000004</v>
      </c>
      <c r="K362" s="180">
        <f t="shared" ref="K362" si="50">J362/60</f>
        <v>2612.5293333333339</v>
      </c>
      <c r="L362" s="179"/>
      <c r="M362" s="180">
        <f t="shared" ref="M362:M367" si="51">L362/60</f>
        <v>0</v>
      </c>
      <c r="N362" s="179"/>
      <c r="O362" s="180">
        <f t="shared" ref="O362:O367" si="52">N362/60</f>
        <v>0</v>
      </c>
      <c r="P362" s="187"/>
      <c r="Q362" s="180">
        <f t="shared" ref="Q362:Q367" si="53">P362/60</f>
        <v>0</v>
      </c>
      <c r="R362" s="187"/>
      <c r="S362" s="180">
        <f t="shared" ref="S362:S367" si="54">R362/60</f>
        <v>0</v>
      </c>
      <c r="T362" s="187"/>
      <c r="U362" s="180">
        <f t="shared" ref="U362:U367" si="55">T362/60</f>
        <v>0</v>
      </c>
      <c r="V362" s="187"/>
      <c r="W362" s="180">
        <f t="shared" ref="W362:W367" si="56">V362/60</f>
        <v>0</v>
      </c>
      <c r="X362" s="187"/>
      <c r="Y362" s="180">
        <f t="shared" ref="Y362:Y367" si="57">X362/60</f>
        <v>0</v>
      </c>
      <c r="Z362" s="187"/>
      <c r="AA362" s="180">
        <f t="shared" ref="AA362:AA367" si="58">Z362/60</f>
        <v>0</v>
      </c>
      <c r="AC362" s="337" t="s">
        <v>740</v>
      </c>
      <c r="AD362" s="337" t="s">
        <v>242</v>
      </c>
      <c r="AE362" s="337">
        <v>87.08</v>
      </c>
      <c r="AF362" s="338">
        <v>3</v>
      </c>
      <c r="AG362" s="93"/>
      <c r="AH362" s="337" t="s">
        <v>793</v>
      </c>
      <c r="AI362" s="337" t="s">
        <v>794</v>
      </c>
      <c r="AJ362" s="337">
        <v>21.6</v>
      </c>
      <c r="AK362" s="337">
        <v>12</v>
      </c>
    </row>
    <row r="363" spans="1:37" ht="17.399999999999999" x14ac:dyDescent="0.35">
      <c r="A363" s="511"/>
      <c r="B363" s="358">
        <v>110030</v>
      </c>
      <c r="C363" s="188" t="s">
        <v>285</v>
      </c>
      <c r="D363" s="372">
        <v>74921.38</v>
      </c>
      <c r="E363" s="205">
        <f t="shared" ref="E363:E367" si="59">D363/60</f>
        <v>1248.6896666666667</v>
      </c>
      <c r="F363" s="372">
        <v>61195.6</v>
      </c>
      <c r="G363" s="205">
        <f>F363/60</f>
        <v>1019.9266666666666</v>
      </c>
      <c r="H363" s="372">
        <v>60659.64</v>
      </c>
      <c r="I363" s="205">
        <f t="shared" ref="I363:I367" si="60">H363/60</f>
        <v>1010.994</v>
      </c>
      <c r="J363" s="372">
        <v>55162.520000000004</v>
      </c>
      <c r="K363" s="205">
        <f>J363/60</f>
        <v>919.3753333333334</v>
      </c>
      <c r="L363" s="179"/>
      <c r="M363" s="189">
        <f t="shared" si="51"/>
        <v>0</v>
      </c>
      <c r="N363" s="182"/>
      <c r="O363" s="189">
        <f t="shared" si="52"/>
        <v>0</v>
      </c>
      <c r="P363" s="183"/>
      <c r="Q363" s="189">
        <f t="shared" si="53"/>
        <v>0</v>
      </c>
      <c r="R363" s="182"/>
      <c r="S363" s="189">
        <f t="shared" si="54"/>
        <v>0</v>
      </c>
      <c r="T363" s="182"/>
      <c r="U363" s="189">
        <f t="shared" si="55"/>
        <v>0</v>
      </c>
      <c r="V363" s="182"/>
      <c r="W363" s="189">
        <f t="shared" si="56"/>
        <v>0</v>
      </c>
      <c r="X363" s="182"/>
      <c r="Y363" s="189">
        <f t="shared" si="57"/>
        <v>0</v>
      </c>
      <c r="Z363" s="187"/>
      <c r="AA363" s="189">
        <f t="shared" si="58"/>
        <v>0</v>
      </c>
      <c r="AC363" s="337" t="s">
        <v>958</v>
      </c>
      <c r="AD363" s="337" t="s">
        <v>242</v>
      </c>
      <c r="AE363" s="337">
        <v>32.68</v>
      </c>
      <c r="AF363" s="338">
        <v>1</v>
      </c>
      <c r="AG363" s="93"/>
      <c r="AH363" s="337" t="s">
        <v>505</v>
      </c>
      <c r="AI363" s="337" t="s">
        <v>506</v>
      </c>
      <c r="AJ363" s="337">
        <v>277.2</v>
      </c>
      <c r="AK363" s="337">
        <v>12</v>
      </c>
    </row>
    <row r="364" spans="1:37" ht="17.399999999999999" x14ac:dyDescent="0.35">
      <c r="A364" s="511"/>
      <c r="B364" s="358">
        <v>110100</v>
      </c>
      <c r="C364" s="188" t="s">
        <v>287</v>
      </c>
      <c r="D364" s="372">
        <v>125435</v>
      </c>
      <c r="E364" s="205">
        <f t="shared" si="59"/>
        <v>2090.5833333333335</v>
      </c>
      <c r="F364" s="372">
        <v>186939</v>
      </c>
      <c r="G364" s="205">
        <f t="shared" ref="G364:G367" si="61">F364/60</f>
        <v>3115.65</v>
      </c>
      <c r="H364" s="372">
        <v>210877</v>
      </c>
      <c r="I364" s="205">
        <f t="shared" si="60"/>
        <v>3514.6166666666668</v>
      </c>
      <c r="J364" s="372">
        <v>187053</v>
      </c>
      <c r="K364" s="189">
        <f t="shared" ref="K364:K367" si="62">J364/60</f>
        <v>3117.55</v>
      </c>
      <c r="L364" s="179"/>
      <c r="M364" s="189">
        <f t="shared" si="51"/>
        <v>0</v>
      </c>
      <c r="N364" s="182"/>
      <c r="O364" s="189">
        <f t="shared" si="52"/>
        <v>0</v>
      </c>
      <c r="P364" s="183"/>
      <c r="Q364" s="189">
        <f t="shared" si="53"/>
        <v>0</v>
      </c>
      <c r="R364" s="182"/>
      <c r="S364" s="189">
        <f t="shared" si="54"/>
        <v>0</v>
      </c>
      <c r="T364" s="182"/>
      <c r="U364" s="189">
        <f t="shared" si="55"/>
        <v>0</v>
      </c>
      <c r="V364" s="182"/>
      <c r="W364" s="189">
        <f t="shared" si="56"/>
        <v>0</v>
      </c>
      <c r="X364" s="182"/>
      <c r="Y364" s="189">
        <f t="shared" si="57"/>
        <v>0</v>
      </c>
      <c r="Z364" s="182"/>
      <c r="AA364" s="189">
        <f t="shared" si="58"/>
        <v>0</v>
      </c>
      <c r="AC364" s="337" t="s">
        <v>960</v>
      </c>
      <c r="AD364" s="337" t="s">
        <v>242</v>
      </c>
      <c r="AE364" s="337">
        <v>88.68</v>
      </c>
      <c r="AF364" s="338">
        <v>2</v>
      </c>
      <c r="AG364" s="93"/>
      <c r="AH364" s="337" t="s">
        <v>486</v>
      </c>
      <c r="AI364" s="337" t="s">
        <v>487</v>
      </c>
      <c r="AJ364" s="337">
        <v>277.2</v>
      </c>
      <c r="AK364" s="337">
        <v>12</v>
      </c>
    </row>
    <row r="365" spans="1:37" ht="17.399999999999999" x14ac:dyDescent="0.35">
      <c r="A365" s="511"/>
      <c r="B365" s="358">
        <v>110110</v>
      </c>
      <c r="C365" s="190" t="s">
        <v>289</v>
      </c>
      <c r="D365" s="372">
        <v>291894</v>
      </c>
      <c r="E365" s="205">
        <f t="shared" si="59"/>
        <v>4864.8999999999996</v>
      </c>
      <c r="F365" s="372">
        <v>468510</v>
      </c>
      <c r="G365" s="205">
        <f t="shared" si="61"/>
        <v>7808.5</v>
      </c>
      <c r="H365" s="372">
        <v>561192</v>
      </c>
      <c r="I365" s="309">
        <f t="shared" si="60"/>
        <v>9353.2000000000007</v>
      </c>
      <c r="J365" s="372">
        <v>491073</v>
      </c>
      <c r="K365" s="193">
        <f t="shared" si="62"/>
        <v>8184.55</v>
      </c>
      <c r="L365" s="192"/>
      <c r="M365" s="193">
        <f t="shared" si="51"/>
        <v>0</v>
      </c>
      <c r="N365" s="191"/>
      <c r="O365" s="193">
        <f t="shared" si="52"/>
        <v>0</v>
      </c>
      <c r="P365" s="195"/>
      <c r="Q365" s="193">
        <f t="shared" si="53"/>
        <v>0</v>
      </c>
      <c r="R365" s="191"/>
      <c r="S365" s="193">
        <f t="shared" si="54"/>
        <v>0</v>
      </c>
      <c r="T365" s="191"/>
      <c r="U365" s="193">
        <f t="shared" si="55"/>
        <v>0</v>
      </c>
      <c r="V365" s="191"/>
      <c r="W365" s="193">
        <f t="shared" si="56"/>
        <v>0</v>
      </c>
      <c r="X365" s="191"/>
      <c r="Y365" s="193">
        <f t="shared" si="57"/>
        <v>0</v>
      </c>
      <c r="Z365" s="191"/>
      <c r="AA365" s="193">
        <f t="shared" si="58"/>
        <v>0</v>
      </c>
      <c r="AC365" s="337" t="s">
        <v>243</v>
      </c>
      <c r="AD365" s="337" t="s">
        <v>242</v>
      </c>
      <c r="AE365" s="337">
        <v>65.92</v>
      </c>
      <c r="AF365" s="338">
        <v>2</v>
      </c>
      <c r="AG365" s="93"/>
      <c r="AH365" s="337" t="s">
        <v>959</v>
      </c>
      <c r="AI365" s="337" t="s">
        <v>453</v>
      </c>
      <c r="AJ365" s="337">
        <v>3.3</v>
      </c>
      <c r="AK365" s="337">
        <v>1</v>
      </c>
    </row>
    <row r="366" spans="1:37" ht="17.399999999999999" x14ac:dyDescent="0.35">
      <c r="A366" s="511"/>
      <c r="B366" s="358">
        <v>110060</v>
      </c>
      <c r="C366" s="190" t="s">
        <v>291</v>
      </c>
      <c r="D366" s="372">
        <v>31265.64</v>
      </c>
      <c r="E366" s="205">
        <f t="shared" si="59"/>
        <v>521.09399999999994</v>
      </c>
      <c r="F366" s="372">
        <v>51495.199999999997</v>
      </c>
      <c r="G366" s="205">
        <f t="shared" si="61"/>
        <v>858.25333333333333</v>
      </c>
      <c r="H366" s="372">
        <v>61745.94</v>
      </c>
      <c r="I366" s="309">
        <f t="shared" si="60"/>
        <v>1029.0989999999999</v>
      </c>
      <c r="J366" s="372">
        <v>44311.280000000021</v>
      </c>
      <c r="K366" s="193">
        <f t="shared" si="62"/>
        <v>738.5213333333337</v>
      </c>
      <c r="L366" s="179"/>
      <c r="M366" s="193">
        <f t="shared" si="51"/>
        <v>0</v>
      </c>
      <c r="N366" s="179"/>
      <c r="O366" s="193">
        <f t="shared" si="52"/>
        <v>0</v>
      </c>
      <c r="P366" s="187"/>
      <c r="Q366" s="193">
        <f t="shared" si="53"/>
        <v>0</v>
      </c>
      <c r="R366" s="343"/>
      <c r="S366" s="193">
        <f t="shared" si="54"/>
        <v>0</v>
      </c>
      <c r="T366" s="349"/>
      <c r="U366" s="193">
        <f t="shared" si="55"/>
        <v>0</v>
      </c>
      <c r="V366" s="343"/>
      <c r="W366" s="193">
        <f t="shared" si="56"/>
        <v>0</v>
      </c>
      <c r="X366" s="359"/>
      <c r="Y366" s="360">
        <f t="shared" si="57"/>
        <v>0</v>
      </c>
      <c r="Z366" s="359"/>
      <c r="AA366" s="189">
        <f t="shared" si="58"/>
        <v>0</v>
      </c>
      <c r="AC366" s="337" t="s">
        <v>741</v>
      </c>
      <c r="AD366" s="337" t="s">
        <v>242</v>
      </c>
      <c r="AE366" s="337">
        <v>192.08</v>
      </c>
      <c r="AF366" s="338">
        <v>7</v>
      </c>
      <c r="AG366" s="93"/>
      <c r="AH366" s="337" t="s">
        <v>507</v>
      </c>
      <c r="AI366" s="337" t="s">
        <v>453</v>
      </c>
      <c r="AJ366" s="337">
        <v>528</v>
      </c>
      <c r="AK366" s="337">
        <v>22</v>
      </c>
    </row>
    <row r="367" spans="1:37" ht="18" thickBot="1" x14ac:dyDescent="0.4">
      <c r="A367" s="511"/>
      <c r="B367" s="361">
        <v>110111</v>
      </c>
      <c r="C367" s="371" t="s">
        <v>292</v>
      </c>
      <c r="D367" s="373">
        <v>70826</v>
      </c>
      <c r="E367" s="310">
        <f t="shared" si="59"/>
        <v>1180.4333333333334</v>
      </c>
      <c r="F367" s="373">
        <v>74846</v>
      </c>
      <c r="G367" s="310">
        <f t="shared" si="61"/>
        <v>1247.4333333333334</v>
      </c>
      <c r="H367" s="373">
        <v>117541</v>
      </c>
      <c r="I367" s="310">
        <f t="shared" si="60"/>
        <v>1959.0166666666667</v>
      </c>
      <c r="J367" s="373">
        <v>91449</v>
      </c>
      <c r="K367" s="198">
        <f t="shared" si="62"/>
        <v>1524.15</v>
      </c>
      <c r="L367" s="197"/>
      <c r="M367" s="198">
        <f t="shared" si="51"/>
        <v>0</v>
      </c>
      <c r="N367" s="197"/>
      <c r="O367" s="198">
        <f t="shared" si="52"/>
        <v>0</v>
      </c>
      <c r="P367" s="199"/>
      <c r="Q367" s="198">
        <f t="shared" si="53"/>
        <v>0</v>
      </c>
      <c r="R367" s="200"/>
      <c r="S367" s="198">
        <f t="shared" si="54"/>
        <v>0</v>
      </c>
      <c r="T367" s="201"/>
      <c r="U367" s="198">
        <f t="shared" si="55"/>
        <v>0</v>
      </c>
      <c r="V367" s="200"/>
      <c r="W367" s="198">
        <f t="shared" si="56"/>
        <v>0</v>
      </c>
      <c r="X367" s="200"/>
      <c r="Y367" s="202">
        <f t="shared" si="57"/>
        <v>0</v>
      </c>
      <c r="Z367" s="200"/>
      <c r="AA367" s="198">
        <f t="shared" si="58"/>
        <v>0</v>
      </c>
      <c r="AC367" s="337" t="s">
        <v>577</v>
      </c>
      <c r="AD367" s="337" t="s">
        <v>242</v>
      </c>
      <c r="AE367" s="337">
        <v>345.9</v>
      </c>
      <c r="AF367" s="338">
        <v>5</v>
      </c>
      <c r="AG367" s="93"/>
      <c r="AH367" s="337" t="s">
        <v>885</v>
      </c>
      <c r="AI367" s="337" t="s">
        <v>886</v>
      </c>
      <c r="AJ367" s="337">
        <v>100</v>
      </c>
      <c r="AK367" s="337">
        <v>10</v>
      </c>
    </row>
    <row r="368" spans="1:37" x14ac:dyDescent="0.3">
      <c r="A368" s="511"/>
      <c r="B368" s="93"/>
      <c r="C368" s="93"/>
      <c r="D368" s="93"/>
      <c r="E368" s="93"/>
      <c r="F368" s="286"/>
      <c r="G368" s="93"/>
      <c r="H368" s="208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252"/>
      <c r="U368" s="93"/>
      <c r="V368" s="93"/>
      <c r="W368" s="93"/>
      <c r="X368" s="93"/>
      <c r="Y368" s="93"/>
      <c r="Z368" s="93"/>
      <c r="AA368" s="93"/>
      <c r="AC368" s="337" t="s">
        <v>351</v>
      </c>
      <c r="AD368" s="337" t="s">
        <v>242</v>
      </c>
      <c r="AE368" s="337">
        <v>422.35</v>
      </c>
      <c r="AF368" s="338">
        <v>15</v>
      </c>
      <c r="AG368" s="93"/>
      <c r="AH368" s="337" t="s">
        <v>891</v>
      </c>
      <c r="AI368" s="337" t="s">
        <v>892</v>
      </c>
      <c r="AJ368" s="337">
        <v>120</v>
      </c>
      <c r="AK368" s="337">
        <v>10</v>
      </c>
    </row>
    <row r="369" spans="1:37" x14ac:dyDescent="0.3">
      <c r="A369" s="511"/>
      <c r="B369" s="93"/>
      <c r="C369" s="93"/>
      <c r="D369" s="93"/>
      <c r="E369" s="93"/>
      <c r="F369" s="286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252"/>
      <c r="U369" s="93"/>
      <c r="V369" s="93"/>
      <c r="W369" s="93"/>
      <c r="X369" s="93"/>
      <c r="Y369" s="93"/>
      <c r="Z369" s="93"/>
      <c r="AA369" s="93"/>
      <c r="AC369" s="337" t="s">
        <v>616</v>
      </c>
      <c r="AD369" s="337" t="s">
        <v>242</v>
      </c>
      <c r="AE369" s="337">
        <v>115.46</v>
      </c>
      <c r="AF369" s="338">
        <v>3</v>
      </c>
      <c r="AG369" s="93"/>
      <c r="AH369" s="337" t="s">
        <v>961</v>
      </c>
      <c r="AI369" s="337" t="s">
        <v>962</v>
      </c>
      <c r="AJ369" s="337">
        <v>60</v>
      </c>
      <c r="AK369" s="337">
        <v>10</v>
      </c>
    </row>
    <row r="370" spans="1:37" x14ac:dyDescent="0.3">
      <c r="A370" s="511"/>
      <c r="B370" s="93"/>
      <c r="C370" s="93"/>
      <c r="D370" s="93"/>
      <c r="E370" s="93"/>
      <c r="F370" s="286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252"/>
      <c r="U370" s="93"/>
      <c r="V370" s="93"/>
      <c r="W370" s="93"/>
      <c r="X370" s="93"/>
      <c r="Y370" s="93"/>
      <c r="Z370" s="93"/>
      <c r="AA370" s="93"/>
      <c r="AC370" s="337" t="s">
        <v>617</v>
      </c>
      <c r="AD370" s="337" t="s">
        <v>242</v>
      </c>
      <c r="AE370" s="337">
        <v>373.2</v>
      </c>
      <c r="AF370" s="338">
        <v>10</v>
      </c>
      <c r="AG370" s="93"/>
      <c r="AH370" s="337"/>
      <c r="AI370" s="337"/>
      <c r="AJ370" s="338"/>
      <c r="AK370" s="338"/>
    </row>
    <row r="371" spans="1:37" x14ac:dyDescent="0.3">
      <c r="A371" s="511"/>
      <c r="B371" s="93"/>
      <c r="C371" s="93"/>
      <c r="D371" s="93"/>
      <c r="E371" s="93"/>
      <c r="F371" s="286"/>
      <c r="G371" s="93"/>
      <c r="H371" s="93"/>
      <c r="I371" s="369"/>
      <c r="J371" s="370"/>
      <c r="K371" s="93"/>
      <c r="L371" s="93"/>
      <c r="M371" s="93"/>
      <c r="N371" s="93"/>
      <c r="O371" s="93"/>
      <c r="P371" s="93"/>
      <c r="Q371" s="93"/>
      <c r="R371" s="93"/>
      <c r="S371" s="93"/>
      <c r="T371" s="252"/>
      <c r="U371" s="93"/>
      <c r="V371" s="93"/>
      <c r="W371" s="93"/>
      <c r="X371" s="93"/>
      <c r="Y371" s="93"/>
      <c r="Z371" s="93"/>
      <c r="AA371" s="93"/>
      <c r="AC371" s="337" t="s">
        <v>742</v>
      </c>
      <c r="AD371" s="337" t="s">
        <v>242</v>
      </c>
      <c r="AE371" s="337">
        <v>82.5</v>
      </c>
      <c r="AF371" s="338">
        <v>5</v>
      </c>
      <c r="AG371" s="93"/>
      <c r="AH371" s="337"/>
      <c r="AI371" s="337"/>
      <c r="AJ371" s="338"/>
      <c r="AK371" s="338"/>
    </row>
    <row r="372" spans="1:37" x14ac:dyDescent="0.3">
      <c r="A372" s="511"/>
      <c r="B372" s="93"/>
      <c r="C372" s="93"/>
      <c r="D372" s="93"/>
      <c r="E372" s="93"/>
      <c r="F372" s="286"/>
      <c r="G372" s="93"/>
      <c r="H372" s="93"/>
      <c r="I372" s="369"/>
      <c r="J372" s="370"/>
      <c r="K372" s="93"/>
      <c r="L372" s="93"/>
      <c r="M372" s="93"/>
      <c r="N372" s="93"/>
      <c r="O372" s="93"/>
      <c r="P372" s="93"/>
      <c r="Q372" s="93"/>
      <c r="R372" s="93"/>
      <c r="S372" s="93"/>
      <c r="T372" s="252"/>
      <c r="U372" s="93"/>
      <c r="V372" s="93"/>
      <c r="W372" s="93"/>
      <c r="X372" s="93"/>
      <c r="Y372" s="93"/>
      <c r="Z372" s="93"/>
      <c r="AA372" s="93"/>
      <c r="AC372" s="337" t="s">
        <v>245</v>
      </c>
      <c r="AD372" s="337" t="s">
        <v>242</v>
      </c>
      <c r="AE372" s="337">
        <v>614</v>
      </c>
      <c r="AF372" s="338">
        <v>10</v>
      </c>
      <c r="AG372" s="93"/>
      <c r="AH372" s="337"/>
      <c r="AI372" s="337"/>
      <c r="AJ372" s="338"/>
      <c r="AK372" s="338"/>
    </row>
    <row r="373" spans="1:37" x14ac:dyDescent="0.3">
      <c r="A373" s="511"/>
      <c r="B373" s="93"/>
      <c r="C373" s="93"/>
      <c r="D373" s="93"/>
      <c r="E373" s="93"/>
      <c r="F373" s="286"/>
      <c r="G373" s="93"/>
      <c r="H373" s="93"/>
      <c r="I373" s="369"/>
      <c r="J373" s="370"/>
      <c r="K373" s="93"/>
      <c r="L373" s="93"/>
      <c r="M373" s="93"/>
      <c r="N373" s="93"/>
      <c r="O373" s="93"/>
      <c r="P373" s="93"/>
      <c r="Q373" s="93"/>
      <c r="R373" s="93"/>
      <c r="S373" s="93"/>
      <c r="T373" s="252"/>
      <c r="U373" s="93"/>
      <c r="V373" s="93"/>
      <c r="W373" s="93"/>
      <c r="X373" s="93"/>
      <c r="Y373" s="93"/>
      <c r="Z373" s="93"/>
      <c r="AA373" s="93"/>
      <c r="AC373" s="337" t="s">
        <v>361</v>
      </c>
      <c r="AD373" s="337" t="s">
        <v>242</v>
      </c>
      <c r="AE373" s="337">
        <v>457.48</v>
      </c>
      <c r="AF373" s="338">
        <v>12</v>
      </c>
      <c r="AG373" s="93"/>
      <c r="AH373" s="337"/>
      <c r="AI373" s="337"/>
      <c r="AJ373" s="338"/>
      <c r="AK373" s="338"/>
    </row>
    <row r="374" spans="1:37" x14ac:dyDescent="0.3">
      <c r="A374" s="511"/>
      <c r="B374" s="93"/>
      <c r="C374" s="93"/>
      <c r="D374" s="93"/>
      <c r="E374" s="93"/>
      <c r="F374" s="286"/>
      <c r="G374" s="93"/>
      <c r="H374" s="93"/>
      <c r="I374" s="369"/>
      <c r="J374" s="370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C374" s="337" t="s">
        <v>362</v>
      </c>
      <c r="AD374" s="337" t="s">
        <v>242</v>
      </c>
      <c r="AE374" s="337">
        <v>618.9</v>
      </c>
      <c r="AF374" s="338">
        <v>14</v>
      </c>
      <c r="AG374" s="93"/>
      <c r="AH374" s="337"/>
      <c r="AI374" s="337"/>
      <c r="AJ374" s="338"/>
      <c r="AK374" s="338"/>
    </row>
    <row r="375" spans="1:37" x14ac:dyDescent="0.3">
      <c r="A375" s="511"/>
      <c r="B375" s="93"/>
      <c r="C375" s="93"/>
      <c r="D375" s="93"/>
      <c r="E375" s="93"/>
      <c r="F375" s="286"/>
      <c r="G375" s="93"/>
      <c r="H375" s="93"/>
      <c r="I375" s="369"/>
      <c r="J375" s="370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C375" s="337" t="s">
        <v>352</v>
      </c>
      <c r="AD375" s="337" t="s">
        <v>242</v>
      </c>
      <c r="AE375" s="339">
        <v>1672</v>
      </c>
      <c r="AF375" s="338">
        <v>35</v>
      </c>
      <c r="AH375" s="337"/>
      <c r="AI375" s="337"/>
      <c r="AJ375" s="337"/>
      <c r="AK375" s="338"/>
    </row>
    <row r="376" spans="1:37" x14ac:dyDescent="0.3">
      <c r="A376" s="511"/>
      <c r="B376" s="93"/>
      <c r="C376" s="93"/>
      <c r="D376" s="93"/>
      <c r="E376" s="93"/>
      <c r="F376" s="286"/>
      <c r="G376" s="93"/>
      <c r="H376" s="93"/>
      <c r="I376" s="369"/>
      <c r="J376" s="370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C376" s="337" t="s">
        <v>271</v>
      </c>
      <c r="AD376" s="337" t="s">
        <v>242</v>
      </c>
      <c r="AE376" s="337">
        <v>488.96</v>
      </c>
      <c r="AF376" s="338">
        <v>20</v>
      </c>
      <c r="AH376" s="337"/>
      <c r="AI376" s="337"/>
      <c r="AJ376" s="337"/>
      <c r="AK376" s="338"/>
    </row>
    <row r="377" spans="1:37" x14ac:dyDescent="0.3">
      <c r="A377" s="511"/>
      <c r="B377" s="93"/>
      <c r="C377" s="93"/>
      <c r="D377" s="93"/>
      <c r="E377" s="93"/>
      <c r="F377" s="286"/>
      <c r="G377" s="93"/>
      <c r="H377" s="93"/>
      <c r="I377" s="369"/>
      <c r="J377" s="370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C377" s="337" t="s">
        <v>363</v>
      </c>
      <c r="AD377" s="337" t="s">
        <v>242</v>
      </c>
      <c r="AE377" s="337">
        <v>302</v>
      </c>
      <c r="AF377" s="338">
        <v>27</v>
      </c>
      <c r="AH377" s="337"/>
      <c r="AI377" s="337"/>
      <c r="AJ377" s="337"/>
      <c r="AK377" s="338"/>
    </row>
    <row r="378" spans="1:37" x14ac:dyDescent="0.3">
      <c r="A378" s="511"/>
      <c r="B378" s="93"/>
      <c r="C378" s="93"/>
      <c r="D378" s="93"/>
      <c r="E378" s="93"/>
      <c r="F378" s="286"/>
      <c r="G378" s="93"/>
      <c r="H378" s="93"/>
      <c r="I378" s="369"/>
      <c r="J378" s="370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C378" s="337" t="s">
        <v>353</v>
      </c>
      <c r="AD378" s="337" t="s">
        <v>242</v>
      </c>
      <c r="AE378" s="337">
        <v>137</v>
      </c>
      <c r="AF378" s="338">
        <v>12</v>
      </c>
      <c r="AH378" s="337"/>
      <c r="AI378" s="337"/>
      <c r="AJ378" s="337"/>
      <c r="AK378" s="338"/>
    </row>
    <row r="379" spans="1:37" x14ac:dyDescent="0.3">
      <c r="A379" s="511"/>
      <c r="B379" s="93"/>
      <c r="C379" s="93"/>
      <c r="D379" s="93"/>
      <c r="E379" s="93"/>
      <c r="F379" s="286"/>
      <c r="G379" s="93"/>
      <c r="H379" s="93"/>
      <c r="I379" s="369"/>
      <c r="J379" s="370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C379" s="337" t="s">
        <v>354</v>
      </c>
      <c r="AD379" s="337" t="s">
        <v>242</v>
      </c>
      <c r="AE379" s="337">
        <v>71</v>
      </c>
      <c r="AF379" s="338">
        <v>6</v>
      </c>
      <c r="AH379" s="337"/>
      <c r="AI379" s="337"/>
      <c r="AJ379" s="337"/>
      <c r="AK379" s="338"/>
    </row>
    <row r="380" spans="1:37" x14ac:dyDescent="0.3">
      <c r="A380" s="511"/>
      <c r="B380" s="93"/>
      <c r="C380" s="93"/>
      <c r="D380" s="93"/>
      <c r="E380" s="93"/>
      <c r="F380" s="286"/>
      <c r="G380" s="93"/>
      <c r="H380" s="93"/>
      <c r="I380" s="369"/>
      <c r="J380" s="370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C380" s="337" t="s">
        <v>355</v>
      </c>
      <c r="AD380" s="337" t="s">
        <v>242</v>
      </c>
      <c r="AE380" s="339">
        <v>1079.75</v>
      </c>
      <c r="AF380" s="338">
        <v>15</v>
      </c>
      <c r="AH380" s="337"/>
      <c r="AI380" s="337"/>
      <c r="AJ380" s="337"/>
      <c r="AK380" s="338"/>
    </row>
    <row r="381" spans="1:37" x14ac:dyDescent="0.3">
      <c r="A381" s="511"/>
      <c r="B381" s="93"/>
      <c r="C381" s="93"/>
      <c r="D381" s="93"/>
      <c r="E381" s="93"/>
      <c r="F381" s="286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C381" s="337" t="s">
        <v>356</v>
      </c>
      <c r="AD381" s="337" t="s">
        <v>242</v>
      </c>
      <c r="AE381" s="337">
        <v>742.4</v>
      </c>
      <c r="AF381" s="338">
        <v>12</v>
      </c>
      <c r="AH381" s="337"/>
      <c r="AI381" s="337"/>
      <c r="AJ381" s="337"/>
      <c r="AK381" s="338"/>
    </row>
    <row r="382" spans="1:37" x14ac:dyDescent="0.3">
      <c r="A382" s="511"/>
      <c r="B382" s="93"/>
      <c r="C382" s="93"/>
      <c r="D382" s="93"/>
      <c r="E382" s="93"/>
      <c r="F382" s="286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C382" s="337" t="s">
        <v>520</v>
      </c>
      <c r="AD382" s="337" t="s">
        <v>242</v>
      </c>
      <c r="AE382" s="337">
        <v>644.20000000000005</v>
      </c>
      <c r="AF382" s="338">
        <v>15</v>
      </c>
      <c r="AH382" s="337"/>
      <c r="AI382" s="337"/>
      <c r="AJ382" s="337"/>
      <c r="AK382" s="338"/>
    </row>
    <row r="383" spans="1:37" x14ac:dyDescent="0.3">
      <c r="A383" s="511"/>
      <c r="B383" s="93"/>
      <c r="C383" s="93"/>
      <c r="D383" s="93"/>
      <c r="E383" s="93"/>
      <c r="F383" s="286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C383" s="337" t="s">
        <v>288</v>
      </c>
      <c r="AD383" s="337" t="s">
        <v>242</v>
      </c>
      <c r="AE383" s="337">
        <v>313.60000000000002</v>
      </c>
      <c r="AF383" s="338">
        <v>8</v>
      </c>
      <c r="AH383" s="337"/>
      <c r="AI383" s="337"/>
      <c r="AJ383" s="337"/>
      <c r="AK383" s="338"/>
    </row>
    <row r="384" spans="1:37" x14ac:dyDescent="0.3">
      <c r="A384" s="511"/>
      <c r="B384" s="93"/>
      <c r="C384" s="93"/>
      <c r="D384" s="93"/>
      <c r="E384" s="93"/>
      <c r="F384" s="286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C384" s="337" t="s">
        <v>359</v>
      </c>
      <c r="AD384" s="337" t="s">
        <v>242</v>
      </c>
      <c r="AE384" s="337">
        <v>585.20000000000005</v>
      </c>
      <c r="AF384" s="338">
        <v>28</v>
      </c>
      <c r="AH384" s="337"/>
      <c r="AI384" s="337"/>
      <c r="AJ384" s="337"/>
      <c r="AK384" s="338"/>
    </row>
    <row r="385" spans="1:37" x14ac:dyDescent="0.3">
      <c r="A385" s="511"/>
      <c r="B385" s="93"/>
      <c r="C385" s="93"/>
      <c r="D385" s="93"/>
      <c r="E385" s="93"/>
      <c r="F385" s="286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C385" s="337" t="s">
        <v>580</v>
      </c>
      <c r="AD385" s="337" t="s">
        <v>242</v>
      </c>
      <c r="AE385" s="337">
        <v>154.16</v>
      </c>
      <c r="AF385" s="338">
        <v>4</v>
      </c>
      <c r="AH385" s="337"/>
      <c r="AI385" s="337"/>
      <c r="AJ385" s="337"/>
      <c r="AK385" s="338"/>
    </row>
    <row r="386" spans="1:37" x14ac:dyDescent="0.3">
      <c r="A386" s="511"/>
      <c r="B386" s="93"/>
      <c r="C386" s="93"/>
      <c r="D386" s="93"/>
      <c r="E386" s="93"/>
      <c r="F386" s="286"/>
      <c r="G386" s="93"/>
      <c r="H386" s="93"/>
      <c r="I386" s="93"/>
      <c r="J386" s="93"/>
      <c r="K386" s="93"/>
      <c r="L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C386" s="337" t="s">
        <v>581</v>
      </c>
      <c r="AD386" s="337" t="s">
        <v>242</v>
      </c>
      <c r="AE386" s="337">
        <v>564.35</v>
      </c>
      <c r="AF386" s="338">
        <v>15</v>
      </c>
      <c r="AH386" s="337"/>
      <c r="AI386" s="337"/>
      <c r="AJ386" s="337"/>
      <c r="AK386" s="338"/>
    </row>
    <row r="387" spans="1:37" x14ac:dyDescent="0.3">
      <c r="A387" s="511"/>
      <c r="B387" s="93"/>
      <c r="C387" s="93"/>
      <c r="D387" s="93"/>
      <c r="E387" s="93"/>
      <c r="F387" s="286"/>
      <c r="G387" s="93"/>
      <c r="H387" s="93"/>
      <c r="I387" s="93"/>
      <c r="J387" s="93"/>
      <c r="K387" s="93"/>
      <c r="L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C387" s="337" t="s">
        <v>394</v>
      </c>
      <c r="AD387" s="337" t="s">
        <v>242</v>
      </c>
      <c r="AE387" s="337">
        <v>897.4</v>
      </c>
      <c r="AF387" s="338">
        <v>18</v>
      </c>
      <c r="AH387" s="337"/>
      <c r="AI387" s="337"/>
      <c r="AJ387" s="337"/>
      <c r="AK387" s="338"/>
    </row>
    <row r="388" spans="1:37" x14ac:dyDescent="0.3">
      <c r="A388" s="511"/>
      <c r="B388" s="93"/>
      <c r="C388" s="93"/>
      <c r="D388" s="93"/>
      <c r="E388" s="93"/>
      <c r="F388" s="286"/>
      <c r="G388" s="93"/>
      <c r="H388" s="93"/>
      <c r="I388" s="93"/>
      <c r="J388" s="93"/>
      <c r="K388" s="93"/>
      <c r="L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C388" s="337" t="s">
        <v>395</v>
      </c>
      <c r="AD388" s="337" t="s">
        <v>242</v>
      </c>
      <c r="AE388" s="339">
        <v>2128</v>
      </c>
      <c r="AF388" s="338">
        <v>28</v>
      </c>
      <c r="AH388" s="337"/>
      <c r="AI388" s="337"/>
      <c r="AJ388" s="337"/>
      <c r="AK388" s="338"/>
    </row>
    <row r="389" spans="1:37" x14ac:dyDescent="0.3">
      <c r="A389" s="511"/>
      <c r="B389" s="93"/>
      <c r="C389" s="93"/>
      <c r="D389" s="93"/>
      <c r="E389" s="93"/>
      <c r="F389" s="286"/>
      <c r="G389" s="93"/>
      <c r="H389" s="93"/>
      <c r="I389" s="93"/>
      <c r="J389" s="93"/>
      <c r="K389" s="93"/>
      <c r="L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</row>
    <row r="390" spans="1:37" x14ac:dyDescent="0.3">
      <c r="A390" s="511"/>
      <c r="B390" s="93"/>
      <c r="C390" s="93"/>
      <c r="D390" s="93"/>
      <c r="E390" s="93"/>
      <c r="F390" s="286"/>
      <c r="G390" s="93"/>
      <c r="H390" s="93"/>
      <c r="I390" s="93"/>
      <c r="J390" s="93"/>
      <c r="K390" s="93"/>
      <c r="L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</row>
    <row r="391" spans="1:37" x14ac:dyDescent="0.3">
      <c r="A391" s="511"/>
      <c r="B391" s="93"/>
      <c r="C391" s="93"/>
      <c r="D391" s="93"/>
      <c r="E391" s="93"/>
      <c r="F391" s="286"/>
      <c r="G391" s="93"/>
      <c r="H391" s="93"/>
      <c r="I391" s="93"/>
      <c r="J391" s="93"/>
      <c r="K391" s="93"/>
      <c r="L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</row>
    <row r="392" spans="1:37" ht="18" thickBot="1" x14ac:dyDescent="0.4">
      <c r="A392" s="511"/>
      <c r="B392" s="93"/>
      <c r="C392" s="93"/>
      <c r="D392" s="93"/>
      <c r="E392" s="93"/>
      <c r="F392" s="286"/>
      <c r="G392" s="93"/>
      <c r="H392" s="93"/>
      <c r="I392" s="93"/>
      <c r="J392" s="93"/>
      <c r="K392" s="93"/>
      <c r="L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J392" s="283">
        <f>SUM(AJ296:AJ388,AE296:AE389)</f>
        <v>60896.53</v>
      </c>
    </row>
    <row r="393" spans="1:37" s="96" customFormat="1" ht="15" thickBot="1" x14ac:dyDescent="0.35">
      <c r="A393" s="512"/>
      <c r="F393" s="295"/>
      <c r="AK393" s="362"/>
    </row>
    <row r="394" spans="1:37" ht="24" thickBot="1" x14ac:dyDescent="0.35">
      <c r="A394" s="510" t="s">
        <v>974</v>
      </c>
      <c r="B394" s="513" t="s">
        <v>156</v>
      </c>
      <c r="C394" s="514"/>
      <c r="D394" s="514"/>
      <c r="E394" s="515"/>
      <c r="F394" s="285"/>
      <c r="G394" s="513" t="s">
        <v>157</v>
      </c>
      <c r="H394" s="514"/>
      <c r="I394" s="514"/>
      <c r="J394" s="515"/>
      <c r="K394" s="246"/>
      <c r="L394" s="516" t="s">
        <v>158</v>
      </c>
      <c r="M394" s="517"/>
      <c r="N394" s="517"/>
      <c r="O394" s="518"/>
      <c r="P394" s="247"/>
      <c r="Q394" s="516" t="s">
        <v>159</v>
      </c>
      <c r="R394" s="517"/>
      <c r="S394" s="517"/>
      <c r="T394" s="518"/>
      <c r="U394" s="246"/>
      <c r="V394" s="516" t="s">
        <v>160</v>
      </c>
      <c r="W394" s="517"/>
      <c r="X394" s="517"/>
      <c r="Y394" s="518"/>
      <c r="Z394" s="246"/>
      <c r="AA394" s="246"/>
      <c r="AC394" s="516" t="s">
        <v>161</v>
      </c>
      <c r="AD394" s="517"/>
      <c r="AE394" s="517"/>
      <c r="AF394" s="518"/>
      <c r="AG394" s="246"/>
      <c r="AH394" s="516" t="s">
        <v>161</v>
      </c>
      <c r="AI394" s="517"/>
      <c r="AJ394" s="517"/>
      <c r="AK394" s="518"/>
    </row>
    <row r="395" spans="1:37" x14ac:dyDescent="0.3">
      <c r="A395" s="511"/>
      <c r="B395" s="381" t="s">
        <v>454</v>
      </c>
      <c r="C395" s="335" t="s">
        <v>455</v>
      </c>
      <c r="D395" s="336">
        <v>42952</v>
      </c>
      <c r="E395" s="335">
        <v>13</v>
      </c>
      <c r="F395" s="286"/>
      <c r="G395" s="335" t="s">
        <v>981</v>
      </c>
      <c r="H395" s="335" t="s">
        <v>731</v>
      </c>
      <c r="I395" s="336">
        <v>134</v>
      </c>
      <c r="J395" s="335">
        <v>2</v>
      </c>
      <c r="K395" s="93"/>
      <c r="L395" s="335" t="s">
        <v>634</v>
      </c>
      <c r="M395" s="335" t="s">
        <v>158</v>
      </c>
      <c r="N395" s="382">
        <v>6240</v>
      </c>
      <c r="O395" s="335">
        <v>1</v>
      </c>
      <c r="P395" s="93"/>
      <c r="Q395" s="335" t="s">
        <v>319</v>
      </c>
      <c r="R395" s="335" t="s">
        <v>320</v>
      </c>
      <c r="S395" s="382">
        <v>18840</v>
      </c>
      <c r="T395" s="335">
        <v>15</v>
      </c>
      <c r="U395" s="93"/>
      <c r="V395" s="335" t="s">
        <v>993</v>
      </c>
      <c r="W395" s="335" t="s">
        <v>994</v>
      </c>
      <c r="X395" s="382">
        <v>1592</v>
      </c>
      <c r="Y395" s="335">
        <v>2</v>
      </c>
      <c r="Z395" s="93"/>
      <c r="AA395" s="93"/>
      <c r="AC395" s="335" t="s">
        <v>990</v>
      </c>
      <c r="AD395" s="335" t="s">
        <v>175</v>
      </c>
      <c r="AE395" s="335">
        <v>3</v>
      </c>
      <c r="AF395" s="335">
        <v>2</v>
      </c>
      <c r="AG395" s="93"/>
      <c r="AH395" s="335" t="s">
        <v>371</v>
      </c>
      <c r="AI395" s="335" t="s">
        <v>313</v>
      </c>
      <c r="AJ395" s="335">
        <v>144.30000000000001</v>
      </c>
      <c r="AK395" s="335">
        <v>39</v>
      </c>
    </row>
    <row r="396" spans="1:37" x14ac:dyDescent="0.3">
      <c r="A396" s="511"/>
      <c r="B396" s="91" t="s">
        <v>979</v>
      </c>
      <c r="C396" s="337" t="s">
        <v>162</v>
      </c>
      <c r="D396" s="338">
        <v>3500</v>
      </c>
      <c r="E396" s="337">
        <v>1</v>
      </c>
      <c r="F396" s="286"/>
      <c r="G396" s="337" t="s">
        <v>629</v>
      </c>
      <c r="H396" s="337" t="s">
        <v>630</v>
      </c>
      <c r="I396" s="338">
        <v>4388</v>
      </c>
      <c r="J396" s="337">
        <v>2</v>
      </c>
      <c r="K396" s="93"/>
      <c r="L396" s="337" t="s">
        <v>182</v>
      </c>
      <c r="M396" s="337" t="s">
        <v>165</v>
      </c>
      <c r="N396" s="339">
        <v>7704</v>
      </c>
      <c r="O396" s="337">
        <v>12</v>
      </c>
      <c r="P396" s="93"/>
      <c r="Q396" s="337" t="s">
        <v>166</v>
      </c>
      <c r="R396" s="337" t="s">
        <v>167</v>
      </c>
      <c r="S396" s="339">
        <v>19461</v>
      </c>
      <c r="T396" s="337">
        <v>13</v>
      </c>
      <c r="U396" s="93"/>
      <c r="V396" s="337" t="s">
        <v>977</v>
      </c>
      <c r="W396" s="337" t="s">
        <v>978</v>
      </c>
      <c r="X396" s="339">
        <v>1140</v>
      </c>
      <c r="Y396" s="337">
        <v>3</v>
      </c>
      <c r="Z396" s="93"/>
      <c r="AA396" s="93"/>
      <c r="AC396" s="337" t="s">
        <v>991</v>
      </c>
      <c r="AD396" s="337" t="s">
        <v>992</v>
      </c>
      <c r="AE396" s="337">
        <v>24</v>
      </c>
      <c r="AF396" s="337">
        <v>2</v>
      </c>
      <c r="AG396" s="93"/>
      <c r="AH396" s="337" t="s">
        <v>784</v>
      </c>
      <c r="AI396" s="337" t="s">
        <v>313</v>
      </c>
      <c r="AJ396" s="337">
        <v>78</v>
      </c>
      <c r="AK396" s="337">
        <v>12</v>
      </c>
    </row>
    <row r="397" spans="1:37" x14ac:dyDescent="0.3">
      <c r="A397" s="511"/>
      <c r="B397" s="91" t="s">
        <v>179</v>
      </c>
      <c r="C397" s="337" t="s">
        <v>162</v>
      </c>
      <c r="D397" s="338">
        <v>43568</v>
      </c>
      <c r="E397" s="337">
        <v>28</v>
      </c>
      <c r="F397" s="286"/>
      <c r="G397" s="337" t="s">
        <v>180</v>
      </c>
      <c r="H397" s="337" t="s">
        <v>181</v>
      </c>
      <c r="I397" s="338">
        <v>769</v>
      </c>
      <c r="J397" s="337">
        <v>1</v>
      </c>
      <c r="K397" s="93"/>
      <c r="L397" s="337" t="s">
        <v>983</v>
      </c>
      <c r="M397" s="337" t="s">
        <v>165</v>
      </c>
      <c r="N397" s="339">
        <v>2590</v>
      </c>
      <c r="O397" s="337">
        <v>4</v>
      </c>
      <c r="P397" s="93"/>
      <c r="Q397" s="337" t="s">
        <v>484</v>
      </c>
      <c r="R397" s="337" t="s">
        <v>174</v>
      </c>
      <c r="S397" s="339">
        <v>7210</v>
      </c>
      <c r="T397" s="337">
        <v>7</v>
      </c>
      <c r="U397" s="93"/>
      <c r="V397" s="337" t="s">
        <v>995</v>
      </c>
      <c r="W397" s="337" t="s">
        <v>996</v>
      </c>
      <c r="X397" s="339">
        <v>2469</v>
      </c>
      <c r="Y397" s="337">
        <v>3</v>
      </c>
      <c r="Z397" s="93"/>
      <c r="AA397" s="93"/>
      <c r="AC397" s="337" t="s">
        <v>904</v>
      </c>
      <c r="AD397" s="337" t="s">
        <v>905</v>
      </c>
      <c r="AE397" s="337">
        <v>390</v>
      </c>
      <c r="AF397" s="337">
        <v>2</v>
      </c>
      <c r="AG397" s="93"/>
      <c r="AH397" s="337" t="s">
        <v>787</v>
      </c>
      <c r="AI397" s="337" t="s">
        <v>313</v>
      </c>
      <c r="AJ397" s="337">
        <v>20.7</v>
      </c>
      <c r="AK397" s="337">
        <v>4</v>
      </c>
    </row>
    <row r="398" spans="1:37" x14ac:dyDescent="0.3">
      <c r="A398" s="511"/>
      <c r="B398" s="91" t="s">
        <v>203</v>
      </c>
      <c r="C398" s="337" t="s">
        <v>806</v>
      </c>
      <c r="D398" s="338">
        <v>27739.4</v>
      </c>
      <c r="E398" s="337">
        <v>13</v>
      </c>
      <c r="F398" s="286"/>
      <c r="G398" s="337" t="s">
        <v>912</v>
      </c>
      <c r="H398" s="337" t="s">
        <v>181</v>
      </c>
      <c r="I398" s="338">
        <v>1352</v>
      </c>
      <c r="J398" s="337">
        <v>2</v>
      </c>
      <c r="K398" s="93"/>
      <c r="L398" s="337" t="s">
        <v>483</v>
      </c>
      <c r="M398" s="337" t="s">
        <v>165</v>
      </c>
      <c r="N398" s="339">
        <v>4483</v>
      </c>
      <c r="O398" s="337">
        <v>7</v>
      </c>
      <c r="P398" s="93"/>
      <c r="Q398" s="337" t="s">
        <v>173</v>
      </c>
      <c r="R398" s="337" t="s">
        <v>174</v>
      </c>
      <c r="S398" s="339">
        <v>2262</v>
      </c>
      <c r="T398" s="337">
        <v>2</v>
      </c>
      <c r="U398" s="93"/>
      <c r="V398" s="337" t="s">
        <v>913</v>
      </c>
      <c r="W398" s="337" t="s">
        <v>652</v>
      </c>
      <c r="X398" s="339">
        <v>3850</v>
      </c>
      <c r="Y398" s="337">
        <v>1</v>
      </c>
      <c r="Z398" s="93"/>
      <c r="AA398" s="93"/>
      <c r="AC398" s="337" t="s">
        <v>329</v>
      </c>
      <c r="AD398" s="337" t="s">
        <v>330</v>
      </c>
      <c r="AE398" s="337">
        <v>180</v>
      </c>
      <c r="AF398" s="337">
        <v>9</v>
      </c>
      <c r="AG398" s="93"/>
      <c r="AH398" s="337" t="s">
        <v>1006</v>
      </c>
      <c r="AI398" s="337" t="s">
        <v>313</v>
      </c>
      <c r="AJ398" s="337">
        <v>337.5</v>
      </c>
      <c r="AK398" s="337">
        <v>15</v>
      </c>
    </row>
    <row r="399" spans="1:37" x14ac:dyDescent="0.3">
      <c r="A399" s="511"/>
      <c r="B399" s="91" t="s">
        <v>334</v>
      </c>
      <c r="C399" s="337" t="s">
        <v>170</v>
      </c>
      <c r="D399" s="338">
        <v>3178</v>
      </c>
      <c r="E399" s="337">
        <v>2</v>
      </c>
      <c r="F399" s="286"/>
      <c r="G399" s="337" t="s">
        <v>564</v>
      </c>
      <c r="H399" s="337" t="s">
        <v>181</v>
      </c>
      <c r="I399" s="338">
        <v>48657</v>
      </c>
      <c r="J399" s="337">
        <v>21</v>
      </c>
      <c r="K399" s="93"/>
      <c r="L399" s="337" t="s">
        <v>164</v>
      </c>
      <c r="M399" s="337" t="s">
        <v>165</v>
      </c>
      <c r="N399" s="339">
        <v>1226</v>
      </c>
      <c r="O399" s="337">
        <v>2</v>
      </c>
      <c r="P399" s="93"/>
      <c r="Q399" s="337" t="s">
        <v>987</v>
      </c>
      <c r="R399" s="337" t="s">
        <v>174</v>
      </c>
      <c r="S399" s="339">
        <v>3720</v>
      </c>
      <c r="T399" s="337">
        <v>1</v>
      </c>
      <c r="U399" s="93"/>
      <c r="V399" s="337" t="s">
        <v>655</v>
      </c>
      <c r="W399" s="337" t="s">
        <v>656</v>
      </c>
      <c r="X399" s="337">
        <v>241.9</v>
      </c>
      <c r="Y399" s="337">
        <v>1</v>
      </c>
      <c r="Z399" s="93"/>
      <c r="AA399" s="93"/>
      <c r="AC399" s="337" t="s">
        <v>661</v>
      </c>
      <c r="AD399" s="337" t="s">
        <v>662</v>
      </c>
      <c r="AE399" s="337">
        <v>125</v>
      </c>
      <c r="AF399" s="337">
        <v>1</v>
      </c>
      <c r="AG399" s="93"/>
      <c r="AH399" s="337" t="s">
        <v>938</v>
      </c>
      <c r="AI399" s="337" t="s">
        <v>313</v>
      </c>
      <c r="AJ399" s="337">
        <v>332.8</v>
      </c>
      <c r="AK399" s="337">
        <v>26</v>
      </c>
    </row>
    <row r="400" spans="1:37" x14ac:dyDescent="0.3">
      <c r="A400" s="511"/>
      <c r="B400" s="91" t="s">
        <v>194</v>
      </c>
      <c r="C400" s="337" t="s">
        <v>170</v>
      </c>
      <c r="D400" s="339">
        <v>3578</v>
      </c>
      <c r="E400" s="337">
        <v>2</v>
      </c>
      <c r="F400" s="286"/>
      <c r="G400" s="337" t="s">
        <v>565</v>
      </c>
      <c r="H400" s="337" t="s">
        <v>181</v>
      </c>
      <c r="I400" s="338">
        <v>2317</v>
      </c>
      <c r="J400" s="337">
        <v>1</v>
      </c>
      <c r="K400" s="93"/>
      <c r="L400" s="337" t="s">
        <v>322</v>
      </c>
      <c r="M400" s="337" t="s">
        <v>165</v>
      </c>
      <c r="N400" s="337">
        <v>871</v>
      </c>
      <c r="O400" s="337">
        <v>1</v>
      </c>
      <c r="P400" s="93"/>
      <c r="Q400" s="337" t="s">
        <v>186</v>
      </c>
      <c r="R400" s="337" t="s">
        <v>174</v>
      </c>
      <c r="S400" s="339">
        <v>47272</v>
      </c>
      <c r="T400" s="337">
        <v>38</v>
      </c>
      <c r="U400" s="93"/>
      <c r="V400" s="337" t="s">
        <v>657</v>
      </c>
      <c r="W400" s="337" t="s">
        <v>658</v>
      </c>
      <c r="X400" s="337">
        <v>483.8</v>
      </c>
      <c r="Y400" s="337">
        <v>2</v>
      </c>
      <c r="Z400" s="93"/>
      <c r="AA400" s="93"/>
      <c r="AC400" s="337" t="s">
        <v>906</v>
      </c>
      <c r="AD400" s="337" t="s">
        <v>907</v>
      </c>
      <c r="AE400" s="337">
        <v>302.39999999999998</v>
      </c>
      <c r="AF400" s="338">
        <v>54</v>
      </c>
      <c r="AG400" s="93"/>
      <c r="AH400" s="337" t="s">
        <v>789</v>
      </c>
      <c r="AI400" s="337" t="s">
        <v>790</v>
      </c>
      <c r="AJ400" s="337">
        <v>10</v>
      </c>
      <c r="AK400" s="337">
        <v>1</v>
      </c>
    </row>
    <row r="401" spans="1:37" x14ac:dyDescent="0.3">
      <c r="A401" s="511"/>
      <c r="B401" s="91" t="s">
        <v>200</v>
      </c>
      <c r="C401" s="337" t="s">
        <v>170</v>
      </c>
      <c r="D401" s="339">
        <v>7266</v>
      </c>
      <c r="E401" s="337">
        <v>6</v>
      </c>
      <c r="F401" s="311"/>
      <c r="G401" s="337" t="s">
        <v>325</v>
      </c>
      <c r="H401" s="337" t="s">
        <v>181</v>
      </c>
      <c r="I401" s="338">
        <v>13120</v>
      </c>
      <c r="J401" s="337">
        <v>8</v>
      </c>
      <c r="K401" s="93"/>
      <c r="L401" s="337" t="s">
        <v>585</v>
      </c>
      <c r="M401" s="337" t="s">
        <v>165</v>
      </c>
      <c r="N401" s="339">
        <v>1306</v>
      </c>
      <c r="O401" s="337">
        <v>2</v>
      </c>
      <c r="P401" s="93"/>
      <c r="Q401" s="337" t="s">
        <v>379</v>
      </c>
      <c r="R401" s="337" t="s">
        <v>174</v>
      </c>
      <c r="S401" s="339">
        <v>7800</v>
      </c>
      <c r="T401" s="337">
        <v>1</v>
      </c>
      <c r="U401" s="93"/>
      <c r="V401" s="337"/>
      <c r="W401" s="337"/>
      <c r="X401" s="337"/>
      <c r="Y401" s="337"/>
      <c r="Z401" s="93"/>
      <c r="AA401" s="93"/>
      <c r="AC401" s="337" t="s">
        <v>909</v>
      </c>
      <c r="AD401" s="337" t="s">
        <v>907</v>
      </c>
      <c r="AE401" s="337">
        <v>40</v>
      </c>
      <c r="AF401" s="338">
        <v>10</v>
      </c>
      <c r="AG401" s="93"/>
      <c r="AH401" s="337" t="s">
        <v>504</v>
      </c>
      <c r="AI401" s="337" t="s">
        <v>315</v>
      </c>
      <c r="AJ401" s="337">
        <v>132</v>
      </c>
      <c r="AK401" s="337">
        <v>24</v>
      </c>
    </row>
    <row r="402" spans="1:37" x14ac:dyDescent="0.3">
      <c r="A402" s="511"/>
      <c r="B402" s="91" t="s">
        <v>169</v>
      </c>
      <c r="C402" s="337" t="s">
        <v>170</v>
      </c>
      <c r="D402" s="339">
        <v>5584.8</v>
      </c>
      <c r="E402" s="337">
        <v>3</v>
      </c>
      <c r="F402" s="311"/>
      <c r="G402" s="337" t="s">
        <v>177</v>
      </c>
      <c r="H402" s="337" t="s">
        <v>181</v>
      </c>
      <c r="I402" s="338">
        <v>25558</v>
      </c>
      <c r="J402" s="337">
        <v>13</v>
      </c>
      <c r="K402" s="93"/>
      <c r="L402" s="337" t="s">
        <v>984</v>
      </c>
      <c r="M402" s="337" t="s">
        <v>165</v>
      </c>
      <c r="N402" s="339">
        <v>2640</v>
      </c>
      <c r="O402" s="337">
        <v>1</v>
      </c>
      <c r="P402" s="93"/>
      <c r="Q402" s="337" t="s">
        <v>915</v>
      </c>
      <c r="R402" s="337" t="s">
        <v>174</v>
      </c>
      <c r="S402" s="339">
        <v>2512</v>
      </c>
      <c r="T402" s="337">
        <v>2</v>
      </c>
      <c r="U402" s="93"/>
      <c r="V402" s="337"/>
      <c r="W402" s="337"/>
      <c r="X402" s="337"/>
      <c r="Y402" s="337"/>
      <c r="Z402" s="93"/>
      <c r="AA402" s="93"/>
      <c r="AC402" s="337" t="s">
        <v>910</v>
      </c>
      <c r="AD402" s="337" t="s">
        <v>911</v>
      </c>
      <c r="AE402" s="337">
        <v>465.5</v>
      </c>
      <c r="AF402" s="338">
        <v>133</v>
      </c>
      <c r="AG402" s="93"/>
      <c r="AH402" s="337" t="s">
        <v>947</v>
      </c>
      <c r="AI402" s="337" t="s">
        <v>948</v>
      </c>
      <c r="AJ402" s="337">
        <v>12</v>
      </c>
      <c r="AK402" s="337">
        <v>4</v>
      </c>
    </row>
    <row r="403" spans="1:37" x14ac:dyDescent="0.3">
      <c r="A403" s="511"/>
      <c r="B403" s="91" t="s">
        <v>980</v>
      </c>
      <c r="C403" s="337" t="s">
        <v>170</v>
      </c>
      <c r="D403" s="339">
        <v>1211</v>
      </c>
      <c r="E403" s="337">
        <v>1</v>
      </c>
      <c r="F403" s="286"/>
      <c r="G403" s="337" t="s">
        <v>377</v>
      </c>
      <c r="H403" s="337" t="s">
        <v>181</v>
      </c>
      <c r="I403" s="338">
        <v>6396</v>
      </c>
      <c r="J403" s="337">
        <v>4</v>
      </c>
      <c r="K403" s="93"/>
      <c r="L403" s="337" t="s">
        <v>378</v>
      </c>
      <c r="M403" s="337" t="s">
        <v>165</v>
      </c>
      <c r="N403" s="339">
        <v>4500</v>
      </c>
      <c r="O403" s="337">
        <v>1</v>
      </c>
      <c r="P403" s="93"/>
      <c r="Q403" s="337" t="s">
        <v>637</v>
      </c>
      <c r="R403" s="337" t="s">
        <v>174</v>
      </c>
      <c r="S403" s="339">
        <v>15615</v>
      </c>
      <c r="T403" s="337">
        <v>5</v>
      </c>
      <c r="U403" s="93"/>
      <c r="V403" s="337"/>
      <c r="W403" s="337"/>
      <c r="X403" s="337"/>
      <c r="Y403" s="337"/>
      <c r="Z403" s="93"/>
      <c r="AA403" s="93"/>
      <c r="AC403" s="337" t="s">
        <v>458</v>
      </c>
      <c r="AD403" s="337" t="s">
        <v>459</v>
      </c>
      <c r="AE403" s="337">
        <v>80</v>
      </c>
      <c r="AF403" s="338">
        <v>4</v>
      </c>
      <c r="AG403" s="93"/>
      <c r="AH403" s="337" t="s">
        <v>949</v>
      </c>
      <c r="AI403" s="337" t="s">
        <v>948</v>
      </c>
      <c r="AJ403" s="337">
        <v>12</v>
      </c>
      <c r="AK403" s="337">
        <v>4</v>
      </c>
    </row>
    <row r="404" spans="1:37" x14ac:dyDescent="0.3">
      <c r="A404" s="511"/>
      <c r="B404" s="91" t="s">
        <v>627</v>
      </c>
      <c r="C404" s="337" t="s">
        <v>170</v>
      </c>
      <c r="D404" s="339">
        <v>4844</v>
      </c>
      <c r="E404" s="337">
        <v>4</v>
      </c>
      <c r="F404" s="286"/>
      <c r="G404" s="337" t="s">
        <v>163</v>
      </c>
      <c r="H404" s="337" t="s">
        <v>181</v>
      </c>
      <c r="I404" s="338">
        <v>51168</v>
      </c>
      <c r="J404" s="337">
        <v>32</v>
      </c>
      <c r="K404" s="93"/>
      <c r="L404" s="337" t="s">
        <v>916</v>
      </c>
      <c r="M404" s="337" t="s">
        <v>165</v>
      </c>
      <c r="N404" s="339">
        <v>5600</v>
      </c>
      <c r="O404" s="337">
        <v>2</v>
      </c>
      <c r="P404" s="93"/>
      <c r="Q404" s="337" t="s">
        <v>535</v>
      </c>
      <c r="R404" s="337" t="s">
        <v>174</v>
      </c>
      <c r="S404" s="339">
        <v>5870</v>
      </c>
      <c r="T404" s="337">
        <v>5</v>
      </c>
      <c r="U404" s="93"/>
      <c r="V404" s="337"/>
      <c r="W404" s="337"/>
      <c r="X404" s="337"/>
      <c r="Y404" s="337"/>
      <c r="Z404" s="93"/>
      <c r="AA404" s="93"/>
      <c r="AC404" s="337" t="s">
        <v>676</v>
      </c>
      <c r="AD404" s="337" t="s">
        <v>336</v>
      </c>
      <c r="AE404" s="337">
        <v>198</v>
      </c>
      <c r="AF404" s="338">
        <v>12</v>
      </c>
      <c r="AG404" s="93"/>
      <c r="AH404" s="337" t="s">
        <v>951</v>
      </c>
      <c r="AI404" s="337" t="s">
        <v>948</v>
      </c>
      <c r="AJ404" s="339">
        <v>3231</v>
      </c>
      <c r="AK404" s="337">
        <v>10</v>
      </c>
    </row>
    <row r="405" spans="1:37" x14ac:dyDescent="0.3">
      <c r="A405" s="511"/>
      <c r="B405" s="91" t="s">
        <v>191</v>
      </c>
      <c r="C405" s="337" t="s">
        <v>170</v>
      </c>
      <c r="D405" s="339">
        <v>31010</v>
      </c>
      <c r="E405" s="337">
        <v>5</v>
      </c>
      <c r="F405" s="286"/>
      <c r="G405" s="337" t="s">
        <v>633</v>
      </c>
      <c r="H405" s="337" t="s">
        <v>181</v>
      </c>
      <c r="I405" s="338">
        <v>7563</v>
      </c>
      <c r="J405" s="337">
        <v>3</v>
      </c>
      <c r="K405" s="93"/>
      <c r="L405" s="337" t="s">
        <v>963</v>
      </c>
      <c r="M405" s="337" t="s">
        <v>165</v>
      </c>
      <c r="N405" s="339">
        <v>2091</v>
      </c>
      <c r="O405" s="337">
        <v>1</v>
      </c>
      <c r="P405" s="93"/>
      <c r="Q405" s="337" t="s">
        <v>988</v>
      </c>
      <c r="R405" s="337" t="s">
        <v>174</v>
      </c>
      <c r="S405" s="339">
        <v>1655</v>
      </c>
      <c r="T405" s="337">
        <v>1</v>
      </c>
      <c r="U405" s="93"/>
      <c r="V405" s="337"/>
      <c r="W405" s="337"/>
      <c r="X405" s="337"/>
      <c r="Y405" s="337"/>
      <c r="Z405" s="93"/>
      <c r="AA405" s="93"/>
      <c r="AC405" s="337" t="s">
        <v>677</v>
      </c>
      <c r="AD405" s="337" t="s">
        <v>336</v>
      </c>
      <c r="AE405" s="337">
        <v>78</v>
      </c>
      <c r="AF405" s="338">
        <v>12</v>
      </c>
      <c r="AG405" s="93"/>
      <c r="AH405" s="337" t="s">
        <v>953</v>
      </c>
      <c r="AI405" s="337" t="s">
        <v>948</v>
      </c>
      <c r="AJ405" s="337">
        <v>35</v>
      </c>
      <c r="AK405" s="337">
        <v>5</v>
      </c>
    </row>
    <row r="406" spans="1:37" x14ac:dyDescent="0.3">
      <c r="A406" s="511"/>
      <c r="B406" s="91" t="s">
        <v>482</v>
      </c>
      <c r="C406" s="337" t="s">
        <v>170</v>
      </c>
      <c r="D406" s="339">
        <v>48900</v>
      </c>
      <c r="E406" s="337">
        <v>12</v>
      </c>
      <c r="F406" s="286"/>
      <c r="G406" s="337" t="s">
        <v>195</v>
      </c>
      <c r="H406" s="337" t="s">
        <v>181</v>
      </c>
      <c r="I406" s="338">
        <v>25210</v>
      </c>
      <c r="J406" s="337">
        <v>10</v>
      </c>
      <c r="K406" s="93"/>
      <c r="L406" s="337" t="s">
        <v>635</v>
      </c>
      <c r="M406" s="337" t="s">
        <v>165</v>
      </c>
      <c r="N406" s="339">
        <v>4302</v>
      </c>
      <c r="O406" s="337">
        <v>4</v>
      </c>
      <c r="P406" s="93"/>
      <c r="Q406" s="337" t="s">
        <v>812</v>
      </c>
      <c r="R406" s="337" t="s">
        <v>174</v>
      </c>
      <c r="S406" s="339">
        <v>8160</v>
      </c>
      <c r="T406" s="337">
        <v>2</v>
      </c>
      <c r="U406" s="93"/>
      <c r="V406" s="337"/>
      <c r="W406" s="337"/>
      <c r="X406" s="337"/>
      <c r="Y406" s="337"/>
      <c r="Z406" s="93"/>
      <c r="AA406" s="93"/>
      <c r="AC406" s="337" t="s">
        <v>679</v>
      </c>
      <c r="AD406" s="337" t="s">
        <v>336</v>
      </c>
      <c r="AE406" s="337">
        <v>222</v>
      </c>
      <c r="AF406" s="338">
        <v>12</v>
      </c>
      <c r="AG406" s="93"/>
      <c r="AH406" s="337" t="s">
        <v>410</v>
      </c>
      <c r="AI406" s="337" t="s">
        <v>411</v>
      </c>
      <c r="AJ406" s="337">
        <v>32</v>
      </c>
      <c r="AK406" s="337">
        <v>8</v>
      </c>
    </row>
    <row r="407" spans="1:37" x14ac:dyDescent="0.3">
      <c r="A407" s="511"/>
      <c r="B407" s="91" t="s">
        <v>550</v>
      </c>
      <c r="C407" s="337" t="s">
        <v>170</v>
      </c>
      <c r="D407" s="339">
        <v>42547</v>
      </c>
      <c r="E407" s="337">
        <v>6</v>
      </c>
      <c r="F407" s="286"/>
      <c r="G407" s="337" t="s">
        <v>384</v>
      </c>
      <c r="H407" s="337" t="s">
        <v>181</v>
      </c>
      <c r="I407" s="338">
        <v>11955</v>
      </c>
      <c r="J407" s="337">
        <v>3</v>
      </c>
      <c r="K407" s="93"/>
      <c r="L407" s="337" t="s">
        <v>985</v>
      </c>
      <c r="M407" s="337" t="s">
        <v>986</v>
      </c>
      <c r="N407" s="339">
        <v>1284</v>
      </c>
      <c r="O407" s="337">
        <v>2</v>
      </c>
      <c r="P407" s="93"/>
      <c r="Q407" s="337" t="s">
        <v>639</v>
      </c>
      <c r="R407" s="337" t="s">
        <v>640</v>
      </c>
      <c r="S407" s="339">
        <v>7000</v>
      </c>
      <c r="T407" s="337">
        <v>1</v>
      </c>
      <c r="U407" s="93"/>
      <c r="V407" s="337"/>
      <c r="W407" s="337"/>
      <c r="X407" s="337"/>
      <c r="Y407" s="337"/>
      <c r="Z407" s="93"/>
      <c r="AA407" s="93"/>
      <c r="AC407" s="337" t="s">
        <v>843</v>
      </c>
      <c r="AD407" s="337" t="s">
        <v>336</v>
      </c>
      <c r="AE407" s="337">
        <v>6</v>
      </c>
      <c r="AF407" s="338">
        <v>2</v>
      </c>
      <c r="AG407" s="93"/>
      <c r="AH407" s="337" t="s">
        <v>451</v>
      </c>
      <c r="AI407" s="337" t="s">
        <v>452</v>
      </c>
      <c r="AJ407" s="337">
        <v>85</v>
      </c>
      <c r="AK407" s="337">
        <v>10</v>
      </c>
    </row>
    <row r="408" spans="1:37" x14ac:dyDescent="0.3">
      <c r="A408" s="511"/>
      <c r="B408" s="91" t="s">
        <v>445</v>
      </c>
      <c r="C408" s="337" t="s">
        <v>170</v>
      </c>
      <c r="D408" s="339">
        <v>14360</v>
      </c>
      <c r="E408" s="337">
        <v>8</v>
      </c>
      <c r="F408" s="286"/>
      <c r="G408" s="337" t="s">
        <v>982</v>
      </c>
      <c r="H408" s="337" t="s">
        <v>181</v>
      </c>
      <c r="I408" s="338">
        <v>3985</v>
      </c>
      <c r="J408" s="337">
        <v>1</v>
      </c>
      <c r="K408" s="93"/>
      <c r="L408" s="337" t="s">
        <v>171</v>
      </c>
      <c r="M408" s="337" t="s">
        <v>172</v>
      </c>
      <c r="N408" s="339">
        <v>22642</v>
      </c>
      <c r="O408" s="337">
        <v>37</v>
      </c>
      <c r="P408" s="93"/>
      <c r="Q408" s="337" t="s">
        <v>485</v>
      </c>
      <c r="R408" s="337" t="s">
        <v>420</v>
      </c>
      <c r="S408" s="339">
        <v>5150</v>
      </c>
      <c r="T408" s="337">
        <v>5</v>
      </c>
      <c r="U408" s="93"/>
      <c r="V408" s="340"/>
      <c r="W408" s="340"/>
      <c r="X408" s="341"/>
      <c r="Y408" s="340"/>
      <c r="Z408" s="93"/>
      <c r="AA408" s="93"/>
      <c r="AC408" s="337" t="s">
        <v>844</v>
      </c>
      <c r="AD408" s="337" t="s">
        <v>205</v>
      </c>
      <c r="AE408" s="337">
        <v>126</v>
      </c>
      <c r="AF408" s="338">
        <v>36</v>
      </c>
      <c r="AG408" s="93"/>
      <c r="AH408" s="337" t="s">
        <v>1007</v>
      </c>
      <c r="AI408" s="337" t="s">
        <v>1008</v>
      </c>
      <c r="AJ408" s="337">
        <v>19.5</v>
      </c>
      <c r="AK408" s="337">
        <v>1</v>
      </c>
    </row>
    <row r="409" spans="1:37" x14ac:dyDescent="0.3">
      <c r="A409" s="511"/>
      <c r="B409" s="91" t="s">
        <v>421</v>
      </c>
      <c r="C409" s="337" t="s">
        <v>170</v>
      </c>
      <c r="D409" s="339">
        <v>1470</v>
      </c>
      <c r="E409" s="337">
        <v>1</v>
      </c>
      <c r="F409" s="286"/>
      <c r="G409" s="93" t="s">
        <v>921</v>
      </c>
      <c r="H409" s="93" t="s">
        <v>181</v>
      </c>
      <c r="I409" s="252">
        <v>2521</v>
      </c>
      <c r="J409" s="93">
        <v>1</v>
      </c>
      <c r="K409" s="93"/>
      <c r="L409" s="337" t="s">
        <v>192</v>
      </c>
      <c r="M409" s="337" t="s">
        <v>551</v>
      </c>
      <c r="N409" s="339">
        <v>14076</v>
      </c>
      <c r="O409" s="337">
        <v>14</v>
      </c>
      <c r="P409" s="93"/>
      <c r="Q409" s="337" t="s">
        <v>586</v>
      </c>
      <c r="R409" s="337" t="s">
        <v>587</v>
      </c>
      <c r="S409" s="339">
        <v>8400</v>
      </c>
      <c r="T409" s="337">
        <v>2</v>
      </c>
      <c r="U409" s="93"/>
      <c r="V409" s="340"/>
      <c r="W409" s="340"/>
      <c r="X409" s="341"/>
      <c r="Y409" s="340"/>
      <c r="Z409" s="93"/>
      <c r="AA409" s="93"/>
      <c r="AC409" s="337" t="s">
        <v>204</v>
      </c>
      <c r="AD409" s="337" t="s">
        <v>205</v>
      </c>
      <c r="AE409" s="337">
        <v>135.6</v>
      </c>
      <c r="AF409" s="338">
        <v>10</v>
      </c>
      <c r="AG409" s="93"/>
      <c r="AH409" s="337" t="s">
        <v>1009</v>
      </c>
      <c r="AI409" s="337" t="s">
        <v>1010</v>
      </c>
      <c r="AJ409" s="337">
        <v>55</v>
      </c>
      <c r="AK409" s="337">
        <v>2</v>
      </c>
    </row>
    <row r="410" spans="1:37" x14ac:dyDescent="0.3">
      <c r="A410" s="511"/>
      <c r="B410" s="91" t="s">
        <v>920</v>
      </c>
      <c r="C410" s="337" t="s">
        <v>170</v>
      </c>
      <c r="D410" s="339">
        <v>6284</v>
      </c>
      <c r="E410" s="337">
        <v>1</v>
      </c>
      <c r="F410" s="286"/>
      <c r="K410" s="93"/>
      <c r="L410" s="337"/>
      <c r="M410" s="337"/>
      <c r="N410" s="338"/>
      <c r="O410" s="337"/>
      <c r="P410" s="93"/>
      <c r="Q410" s="337" t="s">
        <v>989</v>
      </c>
      <c r="R410" s="337" t="s">
        <v>570</v>
      </c>
      <c r="S410" s="339">
        <v>2945</v>
      </c>
      <c r="T410" s="337">
        <v>1</v>
      </c>
      <c r="U410" s="93"/>
      <c r="V410" s="340"/>
      <c r="W410" s="340"/>
      <c r="X410" s="341"/>
      <c r="Y410" s="340"/>
      <c r="Z410" s="93"/>
      <c r="AA410" s="93"/>
      <c r="AC410" s="337" t="s">
        <v>919</v>
      </c>
      <c r="AD410" s="337" t="s">
        <v>205</v>
      </c>
      <c r="AE410" s="337">
        <v>20</v>
      </c>
      <c r="AF410" s="338">
        <v>1</v>
      </c>
      <c r="AG410" s="93"/>
      <c r="AH410" s="337"/>
      <c r="AI410" s="337"/>
      <c r="AJ410" s="337"/>
      <c r="AK410" s="337"/>
    </row>
    <row r="411" spans="1:37" x14ac:dyDescent="0.3">
      <c r="A411" s="511"/>
      <c r="F411" s="286"/>
      <c r="G411" s="93"/>
      <c r="H411" s="93"/>
      <c r="I411" s="93"/>
      <c r="J411" s="93"/>
      <c r="K411" s="93"/>
      <c r="L411" s="337"/>
      <c r="M411" s="337"/>
      <c r="N411" s="338"/>
      <c r="O411" s="337"/>
      <c r="P411" s="93"/>
      <c r="Q411" s="337" t="s">
        <v>588</v>
      </c>
      <c r="R411" s="337" t="s">
        <v>589</v>
      </c>
      <c r="S411" s="339">
        <v>9000</v>
      </c>
      <c r="T411" s="337">
        <v>2</v>
      </c>
      <c r="U411" s="93"/>
      <c r="V411" s="340"/>
      <c r="W411" s="340"/>
      <c r="X411" s="340"/>
      <c r="Y411" s="340"/>
      <c r="Z411" s="93"/>
      <c r="AA411" s="93"/>
      <c r="AC411" s="337" t="s">
        <v>680</v>
      </c>
      <c r="AD411" s="337" t="s">
        <v>205</v>
      </c>
      <c r="AE411" s="337">
        <v>20.8</v>
      </c>
      <c r="AF411" s="338">
        <v>8</v>
      </c>
      <c r="AG411" s="93"/>
      <c r="AH411" s="337"/>
      <c r="AI411" s="337"/>
      <c r="AJ411" s="339"/>
      <c r="AK411" s="337"/>
    </row>
    <row r="412" spans="1:37" x14ac:dyDescent="0.3">
      <c r="A412" s="511"/>
      <c r="B412" s="93"/>
      <c r="C412" s="93"/>
      <c r="F412" s="286"/>
      <c r="G412" s="93"/>
      <c r="H412" s="93"/>
      <c r="I412" s="93"/>
      <c r="J412" s="93"/>
      <c r="K412" s="93"/>
      <c r="L412" s="337"/>
      <c r="M412" s="337"/>
      <c r="N412" s="338"/>
      <c r="O412" s="337"/>
      <c r="P412" s="93"/>
      <c r="Q412" s="337" t="s">
        <v>642</v>
      </c>
      <c r="R412" s="337" t="s">
        <v>643</v>
      </c>
      <c r="S412" s="339">
        <v>2348</v>
      </c>
      <c r="T412" s="337">
        <v>2</v>
      </c>
      <c r="U412" s="93"/>
      <c r="V412" s="340"/>
      <c r="W412" s="340"/>
      <c r="X412" s="340"/>
      <c r="Y412" s="340"/>
      <c r="Z412" s="93"/>
      <c r="AA412" s="93"/>
      <c r="AC412" s="337" t="s">
        <v>386</v>
      </c>
      <c r="AD412" s="337" t="s">
        <v>205</v>
      </c>
      <c r="AE412" s="337">
        <v>28</v>
      </c>
      <c r="AF412" s="338">
        <v>8</v>
      </c>
      <c r="AG412" s="93"/>
      <c r="AH412" s="337"/>
      <c r="AI412" s="337"/>
      <c r="AJ412" s="339"/>
      <c r="AK412" s="337"/>
    </row>
    <row r="413" spans="1:37" x14ac:dyDescent="0.3">
      <c r="A413" s="511"/>
      <c r="B413" s="93"/>
      <c r="C413" s="93"/>
      <c r="D413" s="208"/>
      <c r="E413" s="93"/>
      <c r="F413" s="286"/>
      <c r="G413" s="93"/>
      <c r="H413" s="93"/>
      <c r="I413" s="93"/>
      <c r="J413" s="93"/>
      <c r="K413" s="93"/>
      <c r="L413" s="337"/>
      <c r="M413" s="337"/>
      <c r="N413" s="338"/>
      <c r="O413" s="337"/>
      <c r="P413" s="93"/>
      <c r="Q413" s="337" t="s">
        <v>198</v>
      </c>
      <c r="R413" s="337" t="s">
        <v>199</v>
      </c>
      <c r="S413" s="339">
        <v>7800</v>
      </c>
      <c r="T413" s="337">
        <v>2</v>
      </c>
      <c r="U413" s="93"/>
      <c r="V413" s="340"/>
      <c r="W413" s="340"/>
      <c r="X413" s="340"/>
      <c r="Y413" s="340"/>
      <c r="Z413" s="93"/>
      <c r="AA413" s="93"/>
      <c r="AC413" s="337" t="s">
        <v>684</v>
      </c>
      <c r="AD413" s="337" t="s">
        <v>205</v>
      </c>
      <c r="AE413" s="337">
        <v>112</v>
      </c>
      <c r="AF413" s="338">
        <v>16</v>
      </c>
      <c r="AG413" s="93"/>
      <c r="AH413" s="337"/>
      <c r="AI413" s="337"/>
      <c r="AJ413" s="337"/>
      <c r="AK413" s="337"/>
    </row>
    <row r="414" spans="1:37" x14ac:dyDescent="0.3">
      <c r="A414" s="511"/>
      <c r="B414" s="93"/>
      <c r="C414" s="93"/>
      <c r="D414" s="208"/>
      <c r="E414" s="93"/>
      <c r="F414" s="286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337" t="s">
        <v>206</v>
      </c>
      <c r="R414" s="337" t="s">
        <v>207</v>
      </c>
      <c r="S414" s="339">
        <v>4200</v>
      </c>
      <c r="T414" s="337">
        <v>1</v>
      </c>
      <c r="U414" s="93"/>
      <c r="V414" s="340"/>
      <c r="W414" s="340"/>
      <c r="X414" s="340"/>
      <c r="Y414" s="340"/>
      <c r="Z414" s="93"/>
      <c r="AA414" s="93"/>
      <c r="AC414" s="337" t="s">
        <v>685</v>
      </c>
      <c r="AD414" s="337" t="s">
        <v>205</v>
      </c>
      <c r="AE414" s="337">
        <v>112</v>
      </c>
      <c r="AF414" s="338">
        <v>16</v>
      </c>
      <c r="AG414" s="93"/>
      <c r="AH414" s="337"/>
      <c r="AI414" s="337"/>
      <c r="AJ414" s="337"/>
      <c r="AK414" s="337"/>
    </row>
    <row r="415" spans="1:37" x14ac:dyDescent="0.3">
      <c r="A415" s="511"/>
      <c r="B415" s="91"/>
      <c r="C415" s="337"/>
      <c r="D415" s="337"/>
      <c r="E415" s="337"/>
      <c r="F415" s="286"/>
      <c r="G415" s="93"/>
      <c r="H415" s="93"/>
      <c r="I415" s="93"/>
      <c r="J415" s="93"/>
      <c r="K415" s="93"/>
      <c r="P415" s="93"/>
      <c r="Q415" s="383"/>
      <c r="R415" s="383"/>
      <c r="S415" s="384"/>
      <c r="T415" s="383"/>
      <c r="U415" s="93"/>
      <c r="V415" s="340"/>
      <c r="W415" s="340"/>
      <c r="X415" s="340"/>
      <c r="Y415" s="340"/>
      <c r="Z415" s="93"/>
      <c r="AA415" s="93"/>
      <c r="AC415" s="337" t="s">
        <v>210</v>
      </c>
      <c r="AD415" s="337" t="s">
        <v>205</v>
      </c>
      <c r="AE415" s="337">
        <v>132</v>
      </c>
      <c r="AF415" s="338">
        <v>24</v>
      </c>
      <c r="AG415" s="93"/>
      <c r="AH415" s="337"/>
      <c r="AI415" s="337"/>
      <c r="AJ415" s="337"/>
      <c r="AK415" s="337"/>
    </row>
    <row r="416" spans="1:37" x14ac:dyDescent="0.3">
      <c r="A416" s="511"/>
      <c r="B416" s="91"/>
      <c r="C416" s="337"/>
      <c r="D416" s="337"/>
      <c r="E416" s="337"/>
      <c r="F416" s="286"/>
      <c r="G416" s="93"/>
      <c r="H416" s="93"/>
      <c r="I416" s="93"/>
      <c r="J416" s="93"/>
      <c r="K416" s="93"/>
      <c r="P416" s="93"/>
      <c r="Q416" s="337"/>
      <c r="R416" s="337"/>
      <c r="S416" s="338"/>
      <c r="T416" s="337"/>
      <c r="U416" s="93"/>
      <c r="V416" s="340"/>
      <c r="W416" s="340"/>
      <c r="X416" s="340"/>
      <c r="Y416" s="340"/>
      <c r="Z416" s="93"/>
      <c r="AA416" s="93"/>
      <c r="AC416" s="337" t="s">
        <v>305</v>
      </c>
      <c r="AD416" s="337" t="s">
        <v>205</v>
      </c>
      <c r="AE416" s="339">
        <v>1120</v>
      </c>
      <c r="AF416" s="338">
        <v>112</v>
      </c>
      <c r="AG416" s="93"/>
      <c r="AH416" s="337"/>
      <c r="AI416" s="337"/>
      <c r="AJ416" s="337"/>
      <c r="AK416" s="337"/>
    </row>
    <row r="417" spans="1:37" x14ac:dyDescent="0.3">
      <c r="A417" s="511"/>
      <c r="B417" s="91"/>
      <c r="C417" s="337"/>
      <c r="D417" s="339"/>
      <c r="E417" s="337"/>
      <c r="F417" s="286"/>
      <c r="G417" s="93"/>
      <c r="H417" s="93"/>
      <c r="I417" s="93"/>
      <c r="J417" s="93"/>
      <c r="K417" s="93"/>
      <c r="P417" s="93"/>
      <c r="Q417" s="337"/>
      <c r="R417" s="337"/>
      <c r="S417" s="338"/>
      <c r="T417" s="337"/>
      <c r="U417" s="93"/>
      <c r="V417" s="340"/>
      <c r="W417" s="340"/>
      <c r="X417" s="340"/>
      <c r="Y417" s="340"/>
      <c r="Z417" s="93"/>
      <c r="AA417" s="93"/>
      <c r="AC417" s="337" t="s">
        <v>214</v>
      </c>
      <c r="AD417" s="337" t="s">
        <v>205</v>
      </c>
      <c r="AE417" s="337">
        <v>400</v>
      </c>
      <c r="AF417" s="338">
        <v>16</v>
      </c>
      <c r="AG417" s="93"/>
      <c r="AH417" s="337"/>
      <c r="AI417" s="337"/>
      <c r="AJ417" s="337"/>
      <c r="AK417" s="337"/>
    </row>
    <row r="418" spans="1:37" x14ac:dyDescent="0.3">
      <c r="A418" s="511"/>
      <c r="B418" s="93"/>
      <c r="C418" s="93"/>
      <c r="D418" s="208"/>
      <c r="E418" s="93"/>
      <c r="F418" s="286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337"/>
      <c r="R418" s="337"/>
      <c r="S418" s="338"/>
      <c r="T418" s="337"/>
      <c r="U418" s="93"/>
      <c r="V418" s="340"/>
      <c r="W418" s="340"/>
      <c r="X418" s="340">
        <v>10081.129999999999</v>
      </c>
      <c r="Y418" s="340"/>
      <c r="Z418" s="93"/>
      <c r="AA418" s="93"/>
      <c r="AC418" s="337" t="s">
        <v>211</v>
      </c>
      <c r="AD418" s="337" t="s">
        <v>205</v>
      </c>
      <c r="AE418" s="337">
        <v>340</v>
      </c>
      <c r="AF418" s="338">
        <v>20</v>
      </c>
      <c r="AG418" s="93"/>
      <c r="AH418" s="337"/>
      <c r="AI418" s="337"/>
      <c r="AJ418" s="337"/>
      <c r="AK418" s="337"/>
    </row>
    <row r="419" spans="1:37" x14ac:dyDescent="0.3">
      <c r="A419" s="511"/>
      <c r="B419" s="93"/>
      <c r="C419" s="93"/>
      <c r="D419" s="93"/>
      <c r="E419" s="93"/>
      <c r="F419" s="286"/>
      <c r="G419" s="93"/>
      <c r="H419" s="93"/>
      <c r="I419" s="93"/>
      <c r="J419" s="93"/>
      <c r="K419" s="93"/>
      <c r="L419" s="93"/>
      <c r="M419" s="333"/>
      <c r="N419" s="334"/>
      <c r="O419" s="93"/>
      <c r="P419" s="93"/>
      <c r="Q419" s="93"/>
      <c r="R419" s="93"/>
      <c r="S419" s="93"/>
      <c r="T419" s="93"/>
      <c r="U419" s="93"/>
      <c r="V419" s="340"/>
      <c r="W419" s="340"/>
      <c r="X419" s="340"/>
      <c r="Y419" s="340"/>
      <c r="Z419" s="93"/>
      <c r="AA419" s="93"/>
      <c r="AC419" s="337" t="s">
        <v>316</v>
      </c>
      <c r="AD419" s="337" t="s">
        <v>205</v>
      </c>
      <c r="AE419" s="339">
        <v>74</v>
      </c>
      <c r="AF419" s="338">
        <v>12</v>
      </c>
      <c r="AG419" s="93"/>
      <c r="AH419" s="337"/>
      <c r="AI419" s="337"/>
      <c r="AJ419" s="337"/>
      <c r="AK419" s="337"/>
    </row>
    <row r="420" spans="1:37" x14ac:dyDescent="0.3">
      <c r="A420" s="511"/>
      <c r="B420" s="93"/>
      <c r="C420" s="93"/>
      <c r="F420" s="286"/>
      <c r="G420" s="93"/>
      <c r="H420" s="93"/>
      <c r="I420" s="93"/>
      <c r="J420" s="93"/>
      <c r="K420" s="93"/>
      <c r="L420" s="93"/>
      <c r="M420" s="333"/>
      <c r="N420" s="334"/>
      <c r="O420" s="93"/>
      <c r="P420" s="93"/>
      <c r="Q420" s="93"/>
      <c r="R420" s="93"/>
      <c r="S420" s="93"/>
      <c r="T420" s="93"/>
      <c r="U420" s="93"/>
      <c r="V420" s="340"/>
      <c r="W420" s="340"/>
      <c r="X420" s="340"/>
      <c r="Y420" s="340"/>
      <c r="Z420" s="93"/>
      <c r="AA420" s="93"/>
      <c r="AC420" s="337" t="s">
        <v>366</v>
      </c>
      <c r="AD420" s="337" t="s">
        <v>205</v>
      </c>
      <c r="AE420" s="339">
        <v>1147.24</v>
      </c>
      <c r="AF420" s="338">
        <v>92</v>
      </c>
      <c r="AG420" s="93"/>
      <c r="AH420" s="337"/>
      <c r="AI420" s="337"/>
      <c r="AJ420" s="339"/>
      <c r="AK420" s="337"/>
    </row>
    <row r="421" spans="1:37" x14ac:dyDescent="0.3">
      <c r="A421" s="511"/>
      <c r="B421" s="93"/>
      <c r="C421" s="93"/>
      <c r="F421" s="286"/>
      <c r="G421" s="93"/>
      <c r="H421" s="93"/>
      <c r="I421" s="93"/>
      <c r="J421" s="93"/>
      <c r="K421" s="93"/>
      <c r="L421" s="93"/>
      <c r="M421" s="333"/>
      <c r="N421" s="334"/>
      <c r="O421" s="93"/>
      <c r="P421" s="93"/>
      <c r="Q421" s="93"/>
      <c r="R421" s="93"/>
      <c r="S421" s="93"/>
      <c r="T421" s="93"/>
      <c r="U421" s="93"/>
      <c r="V421" s="340"/>
      <c r="W421" s="340"/>
      <c r="X421" s="340"/>
      <c r="Y421" s="340"/>
      <c r="Z421" s="93"/>
      <c r="AA421" s="93"/>
      <c r="AC421" s="337" t="s">
        <v>367</v>
      </c>
      <c r="AD421" s="337" t="s">
        <v>205</v>
      </c>
      <c r="AE421" s="337">
        <v>550</v>
      </c>
      <c r="AF421" s="338">
        <v>55</v>
      </c>
      <c r="AG421" s="93"/>
      <c r="AH421" s="337"/>
      <c r="AI421" s="337"/>
      <c r="AJ421" s="339"/>
      <c r="AK421" s="337"/>
    </row>
    <row r="422" spans="1:37" x14ac:dyDescent="0.3">
      <c r="A422" s="511"/>
      <c r="B422" s="93"/>
      <c r="C422" s="93"/>
      <c r="F422" s="286"/>
      <c r="G422" s="93"/>
      <c r="H422" s="93"/>
      <c r="I422" s="93"/>
      <c r="J422" s="93"/>
      <c r="K422" s="93"/>
      <c r="L422" s="93"/>
      <c r="M422" s="333"/>
      <c r="N422" s="334"/>
      <c r="O422" s="93"/>
      <c r="P422" s="93"/>
      <c r="Q422" s="93"/>
      <c r="R422" s="93"/>
      <c r="S422" s="93"/>
      <c r="T422" s="93"/>
      <c r="U422" s="93"/>
      <c r="V422" s="340"/>
      <c r="W422" s="340"/>
      <c r="X422" s="340"/>
      <c r="Y422" s="340"/>
      <c r="Z422" s="93"/>
      <c r="AA422" s="93"/>
      <c r="AC422" s="337" t="s">
        <v>700</v>
      </c>
      <c r="AD422" s="337" t="s">
        <v>205</v>
      </c>
      <c r="AE422" s="337">
        <v>34.5</v>
      </c>
      <c r="AF422" s="338">
        <v>15</v>
      </c>
      <c r="AG422" s="93"/>
      <c r="AH422" s="337"/>
      <c r="AI422" s="337"/>
      <c r="AJ422" s="339"/>
      <c r="AK422" s="337"/>
    </row>
    <row r="423" spans="1:37" x14ac:dyDescent="0.3">
      <c r="A423" s="511"/>
      <c r="B423" s="93"/>
      <c r="C423" s="93"/>
      <c r="D423" s="94"/>
      <c r="F423" s="286"/>
      <c r="G423" s="93"/>
      <c r="H423" s="93"/>
      <c r="I423" s="93"/>
      <c r="J423" s="93"/>
      <c r="K423" s="93"/>
      <c r="L423" s="93"/>
      <c r="M423" s="333"/>
      <c r="N423" s="334"/>
      <c r="O423" s="93"/>
      <c r="P423" s="93"/>
      <c r="Q423" s="93"/>
      <c r="R423" s="93"/>
      <c r="S423" s="93"/>
      <c r="T423" s="93"/>
      <c r="U423" s="93"/>
      <c r="V423" s="340"/>
      <c r="W423" s="340"/>
      <c r="X423" s="340"/>
      <c r="Y423" s="340"/>
      <c r="Z423" s="93"/>
      <c r="AA423" s="93"/>
      <c r="AC423" s="337" t="s">
        <v>930</v>
      </c>
      <c r="AD423" s="337" t="s">
        <v>205</v>
      </c>
      <c r="AE423" s="337">
        <v>4</v>
      </c>
      <c r="AF423" s="338">
        <v>1</v>
      </c>
      <c r="AG423" s="93"/>
      <c r="AH423" s="337"/>
      <c r="AI423" s="337"/>
      <c r="AJ423" s="337"/>
      <c r="AK423" s="337"/>
    </row>
    <row r="424" spans="1:37" x14ac:dyDescent="0.3">
      <c r="A424" s="511"/>
      <c r="B424" s="93"/>
      <c r="C424" s="93"/>
      <c r="F424" s="286"/>
      <c r="G424" s="93"/>
      <c r="H424" s="93"/>
      <c r="I424" s="93"/>
      <c r="J424" s="93"/>
      <c r="K424" s="93"/>
      <c r="L424" s="93"/>
      <c r="M424" s="333"/>
      <c r="N424" s="334"/>
      <c r="O424" s="93"/>
      <c r="P424" s="93"/>
      <c r="Q424" s="93"/>
      <c r="R424" s="93"/>
      <c r="S424" s="93"/>
      <c r="T424" s="93"/>
      <c r="U424" s="93"/>
      <c r="V424" s="340"/>
      <c r="W424" s="340"/>
      <c r="X424" s="340"/>
      <c r="Y424" s="340"/>
      <c r="Z424" s="93"/>
      <c r="AA424" s="93"/>
      <c r="AC424" s="337" t="s">
        <v>703</v>
      </c>
      <c r="AD424" s="337" t="s">
        <v>205</v>
      </c>
      <c r="AE424" s="337">
        <v>35.119999999999997</v>
      </c>
      <c r="AF424" s="338">
        <v>12</v>
      </c>
      <c r="AG424" s="93"/>
      <c r="AH424" s="337"/>
      <c r="AI424" s="337"/>
      <c r="AJ424" s="337"/>
      <c r="AK424" s="337"/>
    </row>
    <row r="425" spans="1:37" x14ac:dyDescent="0.3">
      <c r="A425" s="511"/>
      <c r="B425" s="93"/>
      <c r="C425" s="93"/>
      <c r="D425" s="93"/>
      <c r="E425" s="93"/>
      <c r="F425" s="286"/>
      <c r="G425" s="93"/>
      <c r="H425" s="93"/>
      <c r="I425" s="93"/>
      <c r="J425" s="93"/>
      <c r="K425" s="93"/>
      <c r="L425" s="93"/>
      <c r="M425" s="333"/>
      <c r="N425" s="334"/>
      <c r="O425" s="93"/>
      <c r="P425" s="93"/>
      <c r="Q425" s="93"/>
      <c r="R425" s="93"/>
      <c r="S425" s="93"/>
      <c r="T425" s="93"/>
      <c r="U425" s="93"/>
      <c r="V425" s="340"/>
      <c r="W425" s="340"/>
      <c r="X425" s="340"/>
      <c r="Y425" s="340"/>
      <c r="Z425" s="93"/>
      <c r="AA425" s="93"/>
      <c r="AC425" s="337" t="s">
        <v>704</v>
      </c>
      <c r="AD425" s="337" t="s">
        <v>205</v>
      </c>
      <c r="AE425" s="339">
        <v>21.8</v>
      </c>
      <c r="AF425" s="338">
        <v>12</v>
      </c>
      <c r="AG425" s="93"/>
      <c r="AH425" s="337"/>
      <c r="AI425" s="337"/>
      <c r="AJ425" s="337"/>
      <c r="AK425" s="337"/>
    </row>
    <row r="426" spans="1:37" x14ac:dyDescent="0.3">
      <c r="A426" s="511"/>
      <c r="B426" s="93"/>
      <c r="C426" s="93"/>
      <c r="D426" s="93"/>
      <c r="E426" s="93"/>
      <c r="F426" s="286"/>
      <c r="G426" s="93"/>
      <c r="H426" s="93"/>
      <c r="I426" s="93"/>
      <c r="J426" s="93"/>
      <c r="K426" s="93"/>
      <c r="L426" s="93"/>
      <c r="M426" s="333"/>
      <c r="N426" s="334"/>
      <c r="O426" s="93"/>
      <c r="P426" s="93"/>
      <c r="Q426" s="93"/>
      <c r="R426" s="93"/>
      <c r="S426" s="93"/>
      <c r="T426" s="93"/>
      <c r="U426" s="93"/>
      <c r="V426" s="340"/>
      <c r="W426" s="340"/>
      <c r="X426" s="340"/>
      <c r="Y426" s="340"/>
      <c r="Z426" s="93"/>
      <c r="AA426" s="93"/>
      <c r="AC426" s="337" t="s">
        <v>705</v>
      </c>
      <c r="AD426" s="337" t="s">
        <v>205</v>
      </c>
      <c r="AE426" s="337">
        <v>30</v>
      </c>
      <c r="AF426" s="338">
        <v>12</v>
      </c>
      <c r="AG426" s="93"/>
      <c r="AH426" s="337"/>
      <c r="AI426" s="337"/>
      <c r="AJ426" s="337"/>
      <c r="AK426" s="337"/>
    </row>
    <row r="427" spans="1:37" x14ac:dyDescent="0.3">
      <c r="A427" s="511"/>
      <c r="B427" s="93"/>
      <c r="C427" s="93"/>
      <c r="D427" s="93"/>
      <c r="E427" s="93"/>
      <c r="F427" s="286"/>
      <c r="G427" s="93"/>
      <c r="H427" s="93"/>
      <c r="I427" s="93"/>
      <c r="J427" s="93"/>
      <c r="K427" s="93"/>
      <c r="L427" s="93"/>
      <c r="M427" s="333"/>
      <c r="N427" s="334"/>
      <c r="O427" s="93"/>
      <c r="P427" s="93"/>
      <c r="Q427" s="93"/>
      <c r="R427" s="93"/>
      <c r="S427" s="93"/>
      <c r="T427" s="93"/>
      <c r="U427" s="93"/>
      <c r="V427" s="340"/>
      <c r="W427" s="340"/>
      <c r="X427" s="340"/>
      <c r="Y427" s="340"/>
      <c r="Z427" s="93"/>
      <c r="AA427" s="93"/>
      <c r="AC427" s="337" t="s">
        <v>183</v>
      </c>
      <c r="AD427" s="337" t="s">
        <v>606</v>
      </c>
      <c r="AE427" s="337">
        <v>64</v>
      </c>
      <c r="AF427" s="338">
        <v>8</v>
      </c>
      <c r="AG427" s="93"/>
      <c r="AH427" s="337"/>
      <c r="AI427" s="337"/>
      <c r="AJ427" s="337"/>
      <c r="AK427" s="337"/>
    </row>
    <row r="428" spans="1:37" x14ac:dyDescent="0.3">
      <c r="A428" s="511"/>
      <c r="B428" s="93"/>
      <c r="C428" s="93"/>
      <c r="D428" s="93"/>
      <c r="E428" s="93"/>
      <c r="F428" s="286"/>
      <c r="G428" s="93"/>
      <c r="H428" s="93"/>
      <c r="I428" s="93"/>
      <c r="J428" s="93"/>
      <c r="K428" s="93"/>
      <c r="L428" s="93"/>
      <c r="M428" s="333"/>
      <c r="N428" s="334"/>
      <c r="O428" s="93"/>
      <c r="P428" s="93"/>
      <c r="Q428" s="93"/>
      <c r="R428" s="93"/>
      <c r="S428" s="93"/>
      <c r="T428" s="93"/>
      <c r="U428" s="93"/>
      <c r="V428" s="340"/>
      <c r="W428" s="340"/>
      <c r="X428" s="340"/>
      <c r="Y428" s="340"/>
      <c r="Z428" s="93"/>
      <c r="AA428" s="93"/>
      <c r="AC428" s="337" t="s">
        <v>213</v>
      </c>
      <c r="AD428" s="337" t="s">
        <v>212</v>
      </c>
      <c r="AE428" s="337">
        <v>137.5</v>
      </c>
      <c r="AF428" s="338">
        <v>25</v>
      </c>
      <c r="AG428" s="93"/>
      <c r="AH428" s="337"/>
      <c r="AI428" s="337"/>
      <c r="AJ428" s="337"/>
      <c r="AK428" s="337"/>
    </row>
    <row r="429" spans="1:37" x14ac:dyDescent="0.3">
      <c r="A429" s="511"/>
      <c r="B429" s="93"/>
      <c r="C429" s="93"/>
      <c r="D429" s="93"/>
      <c r="E429" s="93"/>
      <c r="F429" s="286"/>
      <c r="G429" s="93"/>
      <c r="H429" s="93"/>
      <c r="I429" s="93"/>
      <c r="J429" s="93"/>
      <c r="K429" s="93"/>
      <c r="L429" s="93"/>
      <c r="O429" s="93"/>
      <c r="P429" s="93"/>
      <c r="Q429" s="93"/>
      <c r="R429" s="93"/>
      <c r="S429" s="93"/>
      <c r="T429" s="93"/>
      <c r="U429" s="93"/>
      <c r="V429" s="340"/>
      <c r="W429" s="340"/>
      <c r="X429" s="341"/>
      <c r="Y429" s="340"/>
      <c r="Z429" s="93"/>
      <c r="AA429" s="93"/>
      <c r="AC429" s="337" t="s">
        <v>187</v>
      </c>
      <c r="AD429" s="337" t="s">
        <v>212</v>
      </c>
      <c r="AE429" s="337">
        <v>128</v>
      </c>
      <c r="AF429" s="338">
        <v>16</v>
      </c>
      <c r="AG429" s="93"/>
      <c r="AH429" s="337"/>
      <c r="AI429" s="337"/>
      <c r="AJ429" s="337"/>
      <c r="AK429" s="337"/>
    </row>
    <row r="430" spans="1:37" x14ac:dyDescent="0.3">
      <c r="A430" s="511"/>
      <c r="B430" s="93"/>
      <c r="C430" s="93"/>
      <c r="D430" s="252"/>
      <c r="E430" s="93"/>
      <c r="F430" s="286"/>
      <c r="G430" s="93"/>
      <c r="H430" s="93"/>
      <c r="I430" s="93"/>
      <c r="J430" s="93"/>
      <c r="K430" s="93"/>
      <c r="L430" s="93"/>
      <c r="O430" s="93"/>
      <c r="P430" s="93"/>
      <c r="Q430" s="93"/>
      <c r="R430" s="93"/>
      <c r="S430" s="93"/>
      <c r="T430" s="93"/>
      <c r="U430" s="93"/>
      <c r="V430" s="340"/>
      <c r="W430" s="340"/>
      <c r="X430" s="341"/>
      <c r="Y430" s="340"/>
      <c r="Z430" s="93"/>
      <c r="AA430" s="93"/>
      <c r="AC430" s="337" t="s">
        <v>717</v>
      </c>
      <c r="AD430" s="337" t="s">
        <v>718</v>
      </c>
      <c r="AE430" s="337">
        <v>924</v>
      </c>
      <c r="AF430" s="338">
        <v>40</v>
      </c>
      <c r="AG430" s="93"/>
      <c r="AH430" s="337"/>
      <c r="AI430" s="337"/>
      <c r="AJ430" s="337"/>
      <c r="AK430" s="337"/>
    </row>
    <row r="431" spans="1:37" x14ac:dyDescent="0.3">
      <c r="A431" s="511"/>
      <c r="B431" s="93"/>
      <c r="C431" s="93"/>
      <c r="D431" s="252"/>
      <c r="E431" s="93"/>
      <c r="F431" s="286"/>
      <c r="G431" s="93"/>
      <c r="H431" s="93"/>
      <c r="I431" s="93"/>
      <c r="J431" s="93"/>
      <c r="K431" s="93"/>
      <c r="L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C431" s="337" t="s">
        <v>466</v>
      </c>
      <c r="AD431" s="337" t="s">
        <v>467</v>
      </c>
      <c r="AE431" s="337">
        <v>161</v>
      </c>
      <c r="AF431" s="338">
        <v>20</v>
      </c>
      <c r="AG431" s="93"/>
      <c r="AH431" s="337"/>
      <c r="AI431" s="337"/>
      <c r="AJ431" s="337"/>
      <c r="AK431" s="337"/>
    </row>
    <row r="432" spans="1:37" x14ac:dyDescent="0.3">
      <c r="A432" s="511"/>
      <c r="B432" s="93"/>
      <c r="C432" s="93"/>
      <c r="D432" s="252"/>
      <c r="E432" s="93"/>
      <c r="F432" s="286"/>
      <c r="G432" s="93"/>
      <c r="H432" s="93"/>
      <c r="I432" s="93"/>
      <c r="J432" s="93"/>
      <c r="K432" s="93"/>
      <c r="L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C432" s="337" t="s">
        <v>723</v>
      </c>
      <c r="AD432" s="337" t="s">
        <v>724</v>
      </c>
      <c r="AE432" s="337">
        <v>26.85</v>
      </c>
      <c r="AF432" s="338">
        <v>3</v>
      </c>
      <c r="AG432" s="93"/>
      <c r="AH432" s="337"/>
      <c r="AI432" s="337"/>
      <c r="AJ432" s="337"/>
      <c r="AK432" s="337"/>
    </row>
    <row r="433" spans="1:37" x14ac:dyDescent="0.3">
      <c r="A433" s="511"/>
      <c r="B433" s="93"/>
      <c r="C433" s="93"/>
      <c r="D433" s="252"/>
      <c r="E433" s="93"/>
      <c r="F433" s="286"/>
      <c r="G433" s="252"/>
      <c r="H433" s="93"/>
      <c r="I433" s="93"/>
      <c r="J433" s="93"/>
      <c r="K433" s="93"/>
      <c r="L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C433" s="337" t="s">
        <v>997</v>
      </c>
      <c r="AD433" s="337" t="s">
        <v>998</v>
      </c>
      <c r="AE433" s="337">
        <v>418</v>
      </c>
      <c r="AF433" s="338">
        <v>44</v>
      </c>
      <c r="AG433" s="93"/>
      <c r="AH433" s="337"/>
      <c r="AI433" s="337"/>
      <c r="AJ433" s="337"/>
      <c r="AK433" s="337"/>
    </row>
    <row r="434" spans="1:37" x14ac:dyDescent="0.3">
      <c r="A434" s="511"/>
      <c r="B434" s="93"/>
      <c r="C434" s="93"/>
      <c r="D434" s="252"/>
      <c r="E434" s="93"/>
      <c r="F434" s="286"/>
      <c r="G434" s="252"/>
      <c r="H434" s="93"/>
      <c r="I434" s="93"/>
      <c r="J434" s="93"/>
      <c r="K434" s="93"/>
      <c r="L434" s="93"/>
      <c r="O434" s="93"/>
      <c r="P434" s="93"/>
      <c r="Q434" s="385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C434" s="337">
        <v>2012141</v>
      </c>
      <c r="AD434" s="337" t="s">
        <v>999</v>
      </c>
      <c r="AE434" s="337">
        <v>776</v>
      </c>
      <c r="AF434" s="338">
        <v>194</v>
      </c>
      <c r="AG434" s="93"/>
      <c r="AH434" s="337"/>
      <c r="AI434" s="337"/>
      <c r="AJ434" s="337"/>
      <c r="AK434" s="337"/>
    </row>
    <row r="435" spans="1:37" ht="17.399999999999999" x14ac:dyDescent="0.35">
      <c r="A435" s="511"/>
      <c r="B435" s="164"/>
      <c r="C435" s="164"/>
      <c r="D435" s="165"/>
      <c r="E435" s="164"/>
      <c r="F435" s="287"/>
      <c r="G435" s="164"/>
      <c r="H435" s="164"/>
      <c r="I435" s="164"/>
      <c r="J435" s="164"/>
      <c r="K435" s="164"/>
      <c r="L435" s="93"/>
      <c r="M435" s="93"/>
      <c r="N435" s="93"/>
      <c r="O435" s="93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  <c r="AA435" s="164"/>
      <c r="AC435" s="337" t="s">
        <v>977</v>
      </c>
      <c r="AD435" s="337" t="s">
        <v>978</v>
      </c>
      <c r="AE435" s="339">
        <v>1140</v>
      </c>
      <c r="AF435" s="338">
        <v>3</v>
      </c>
      <c r="AG435" s="93"/>
      <c r="AH435" s="337"/>
      <c r="AI435" s="337"/>
      <c r="AJ435" s="337"/>
      <c r="AK435" s="337"/>
    </row>
    <row r="436" spans="1:37" ht="17.399999999999999" x14ac:dyDescent="0.35">
      <c r="A436" s="511"/>
      <c r="B436" s="164"/>
      <c r="C436" s="164"/>
      <c r="D436" s="165"/>
      <c r="E436" s="164"/>
      <c r="F436" s="287"/>
      <c r="G436" s="164"/>
      <c r="H436" s="164"/>
      <c r="I436" s="164"/>
      <c r="J436" s="164"/>
      <c r="K436" s="164"/>
      <c r="L436" s="93"/>
      <c r="M436" s="93"/>
      <c r="N436" s="93"/>
      <c r="O436" s="93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  <c r="AA436" s="164"/>
      <c r="AC436" s="337" t="s">
        <v>1000</v>
      </c>
      <c r="AD436" s="337" t="s">
        <v>347</v>
      </c>
      <c r="AE436" s="337">
        <v>33.200000000000003</v>
      </c>
      <c r="AF436" s="338">
        <v>4</v>
      </c>
      <c r="AG436" s="93"/>
      <c r="AH436" s="337"/>
      <c r="AI436" s="337"/>
      <c r="AJ436" s="337"/>
      <c r="AK436" s="337"/>
    </row>
    <row r="437" spans="1:37" ht="17.399999999999999" x14ac:dyDescent="0.35">
      <c r="A437" s="511"/>
      <c r="B437" s="164"/>
      <c r="C437" s="164"/>
      <c r="D437" s="165"/>
      <c r="E437" s="164"/>
      <c r="F437" s="287"/>
      <c r="G437" s="164"/>
      <c r="H437" s="164"/>
      <c r="I437" s="164"/>
      <c r="J437" s="164"/>
      <c r="K437" s="164"/>
      <c r="L437" s="93"/>
      <c r="M437" s="93"/>
      <c r="N437" s="93"/>
      <c r="O437" s="93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  <c r="AA437" s="164"/>
      <c r="AC437" s="337" t="s">
        <v>418</v>
      </c>
      <c r="AD437" s="337" t="s">
        <v>347</v>
      </c>
      <c r="AE437" s="337">
        <v>280</v>
      </c>
      <c r="AF437" s="338">
        <v>40</v>
      </c>
      <c r="AG437" s="93"/>
      <c r="AH437" s="337"/>
      <c r="AI437" s="337"/>
      <c r="AJ437" s="337"/>
      <c r="AK437" s="337"/>
    </row>
    <row r="438" spans="1:37" ht="17.399999999999999" x14ac:dyDescent="0.35">
      <c r="A438" s="511"/>
      <c r="B438" s="164"/>
      <c r="C438" s="164"/>
      <c r="D438" s="342">
        <f>SUM(D395:D421)</f>
        <v>287992.19999999995</v>
      </c>
      <c r="E438" s="164"/>
      <c r="F438" s="287"/>
      <c r="G438" s="164"/>
      <c r="H438" s="164"/>
      <c r="I438" s="342">
        <f>SUM(I395:I416)</f>
        <v>205093</v>
      </c>
      <c r="J438" s="164"/>
      <c r="K438" s="164"/>
      <c r="L438" s="164"/>
      <c r="M438" s="164"/>
      <c r="N438" s="342">
        <f>SUM(N395:N413)</f>
        <v>81555</v>
      </c>
      <c r="O438" s="164"/>
      <c r="P438" s="164"/>
      <c r="Q438" s="164"/>
      <c r="R438" s="164"/>
      <c r="S438" s="342">
        <f>SUM(S395:S437)</f>
        <v>187220</v>
      </c>
      <c r="T438" s="164"/>
      <c r="U438" s="164"/>
      <c r="V438" s="164"/>
      <c r="W438" s="164"/>
      <c r="X438" s="342">
        <f>SUM(X395:X432)</f>
        <v>19857.829999999998</v>
      </c>
      <c r="Y438" s="164"/>
      <c r="Z438" s="164"/>
      <c r="AA438" s="164"/>
      <c r="AC438" s="337" t="s">
        <v>735</v>
      </c>
      <c r="AD438" s="337" t="s">
        <v>347</v>
      </c>
      <c r="AE438" s="337">
        <v>39</v>
      </c>
      <c r="AF438" s="338">
        <v>12</v>
      </c>
      <c r="AG438" s="93"/>
      <c r="AH438" s="337"/>
      <c r="AI438" s="337"/>
      <c r="AJ438" s="337"/>
      <c r="AK438" s="337"/>
    </row>
    <row r="439" spans="1:37" ht="17.399999999999999" x14ac:dyDescent="0.35">
      <c r="A439" s="511"/>
      <c r="B439" s="164"/>
      <c r="C439" s="164"/>
      <c r="D439" s="164"/>
      <c r="E439" s="164"/>
      <c r="F439" s="287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  <c r="AA439" s="164"/>
      <c r="AC439" s="337" t="s">
        <v>168</v>
      </c>
      <c r="AD439" s="337" t="s">
        <v>348</v>
      </c>
      <c r="AE439" s="337">
        <v>124.36</v>
      </c>
      <c r="AF439" s="338">
        <v>38</v>
      </c>
      <c r="AG439" s="93"/>
      <c r="AH439" s="337"/>
      <c r="AI439" s="337"/>
      <c r="AJ439" s="337">
        <v>7800</v>
      </c>
      <c r="AK439" s="337"/>
    </row>
    <row r="440" spans="1:37" ht="17.399999999999999" x14ac:dyDescent="0.35">
      <c r="A440" s="511"/>
      <c r="B440" s="164"/>
      <c r="C440" s="164"/>
      <c r="D440" s="164"/>
      <c r="E440" s="164"/>
      <c r="F440" s="287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  <c r="AA440" s="164"/>
      <c r="AC440" s="337" t="s">
        <v>1001</v>
      </c>
      <c r="AD440" s="337" t="s">
        <v>1002</v>
      </c>
      <c r="AE440" s="337">
        <v>32</v>
      </c>
      <c r="AF440" s="338">
        <v>4</v>
      </c>
      <c r="AG440" s="93"/>
      <c r="AH440" s="337"/>
      <c r="AI440" s="337"/>
      <c r="AJ440" s="337"/>
      <c r="AK440" s="337"/>
    </row>
    <row r="441" spans="1:37" ht="17.399999999999999" x14ac:dyDescent="0.35">
      <c r="A441" s="511"/>
      <c r="B441" s="164"/>
      <c r="C441" s="343"/>
      <c r="D441" s="522" t="s">
        <v>219</v>
      </c>
      <c r="E441" s="523"/>
      <c r="F441" s="524" t="s">
        <v>220</v>
      </c>
      <c r="G441" s="524"/>
      <c r="H441" s="524" t="s">
        <v>221</v>
      </c>
      <c r="I441" s="524"/>
      <c r="J441" s="524" t="s">
        <v>222</v>
      </c>
      <c r="K441" s="524"/>
      <c r="L441" s="522" t="s">
        <v>223</v>
      </c>
      <c r="M441" s="523"/>
      <c r="N441" s="524" t="s">
        <v>224</v>
      </c>
      <c r="O441" s="524"/>
      <c r="P441" s="524" t="s">
        <v>225</v>
      </c>
      <c r="Q441" s="524"/>
      <c r="R441" s="524" t="s">
        <v>226</v>
      </c>
      <c r="S441" s="524"/>
      <c r="T441" s="524" t="s">
        <v>227</v>
      </c>
      <c r="U441" s="524"/>
      <c r="V441" s="524" t="s">
        <v>228</v>
      </c>
      <c r="W441" s="524"/>
      <c r="X441" s="524" t="s">
        <v>229</v>
      </c>
      <c r="Y441" s="524"/>
      <c r="Z441" s="524" t="s">
        <v>230</v>
      </c>
      <c r="AA441" s="524"/>
      <c r="AC441" s="337" t="s">
        <v>1003</v>
      </c>
      <c r="AD441" s="337" t="s">
        <v>1004</v>
      </c>
      <c r="AE441" s="337">
        <v>96</v>
      </c>
      <c r="AF441" s="338">
        <v>12</v>
      </c>
      <c r="AG441" s="93"/>
      <c r="AH441" s="337"/>
      <c r="AI441" s="337"/>
      <c r="AJ441" s="337"/>
      <c r="AK441" s="337"/>
    </row>
    <row r="442" spans="1:37" ht="17.399999999999999" x14ac:dyDescent="0.35">
      <c r="A442" s="511"/>
      <c r="B442" s="164"/>
      <c r="C442" s="344" t="s">
        <v>233</v>
      </c>
      <c r="D442" s="345">
        <v>124163</v>
      </c>
      <c r="E442" s="345">
        <f>D442/60</f>
        <v>2069.3833333333332</v>
      </c>
      <c r="F442" s="346">
        <v>226382</v>
      </c>
      <c r="G442" s="345">
        <v>3773.0333333333333</v>
      </c>
      <c r="H442" s="347">
        <v>262601</v>
      </c>
      <c r="I442" s="345">
        <f>H442/60</f>
        <v>4376.6833333333334</v>
      </c>
      <c r="J442" s="347">
        <v>221316</v>
      </c>
      <c r="K442" s="345">
        <f>J442/60</f>
        <v>3688.6</v>
      </c>
      <c r="L442" s="348">
        <f>I438</f>
        <v>205093</v>
      </c>
      <c r="M442" s="345">
        <f>L442/60</f>
        <v>3418.2166666666667</v>
      </c>
      <c r="N442" s="343"/>
      <c r="O442" s="345">
        <f>N442/60</f>
        <v>0</v>
      </c>
      <c r="P442" s="349"/>
      <c r="Q442" s="345">
        <f>P442/60</f>
        <v>0</v>
      </c>
      <c r="R442" s="349"/>
      <c r="S442" s="345">
        <f>R442/60</f>
        <v>0</v>
      </c>
      <c r="T442" s="349"/>
      <c r="U442" s="343"/>
      <c r="V442" s="349"/>
      <c r="W442" s="343"/>
      <c r="X442" s="349"/>
      <c r="Y442" s="343"/>
      <c r="Z442" s="349"/>
      <c r="AA442" s="343"/>
      <c r="AC442" s="337" t="s">
        <v>392</v>
      </c>
      <c r="AD442" s="337" t="s">
        <v>393</v>
      </c>
      <c r="AE442" s="337">
        <v>32</v>
      </c>
      <c r="AF442" s="338">
        <v>8</v>
      </c>
      <c r="AG442" s="93"/>
      <c r="AH442" s="337"/>
      <c r="AI442" s="337"/>
      <c r="AJ442" s="337"/>
      <c r="AK442" s="337"/>
    </row>
    <row r="443" spans="1:37" ht="17.399999999999999" x14ac:dyDescent="0.35">
      <c r="A443" s="511"/>
      <c r="B443" s="164"/>
      <c r="C443" s="344" t="s">
        <v>234</v>
      </c>
      <c r="D443" s="345">
        <v>172515.20000000001</v>
      </c>
      <c r="E443" s="345">
        <f>D443/60</f>
        <v>2875.2533333333336</v>
      </c>
      <c r="F443" s="346">
        <v>201945.40000000002</v>
      </c>
      <c r="G443" s="345">
        <v>3365.7566666666671</v>
      </c>
      <c r="H443" s="347">
        <v>229855</v>
      </c>
      <c r="I443" s="345">
        <f t="shared" ref="I443:S447" si="63">H443/60</f>
        <v>3830.9166666666665</v>
      </c>
      <c r="J443" s="347">
        <v>286666.40000000002</v>
      </c>
      <c r="K443" s="345">
        <f t="shared" si="63"/>
        <v>4777.7733333333335</v>
      </c>
      <c r="L443" s="349">
        <f>D438</f>
        <v>287992.19999999995</v>
      </c>
      <c r="M443" s="345">
        <f t="shared" si="63"/>
        <v>4799.869999999999</v>
      </c>
      <c r="N443" s="343"/>
      <c r="O443" s="345">
        <f t="shared" si="63"/>
        <v>0</v>
      </c>
      <c r="P443" s="349"/>
      <c r="Q443" s="345">
        <f t="shared" si="63"/>
        <v>0</v>
      </c>
      <c r="R443" s="349"/>
      <c r="S443" s="345">
        <f t="shared" si="63"/>
        <v>0</v>
      </c>
      <c r="T443" s="349"/>
      <c r="U443" s="343"/>
      <c r="V443" s="349"/>
      <c r="W443" s="343"/>
      <c r="X443" s="343"/>
      <c r="Y443" s="343"/>
      <c r="Z443" s="349"/>
      <c r="AA443" s="343"/>
      <c r="AC443" s="337" t="s">
        <v>738</v>
      </c>
      <c r="AD443" s="337" t="s">
        <v>560</v>
      </c>
      <c r="AE443" s="337">
        <v>152.5</v>
      </c>
      <c r="AF443" s="338">
        <v>190</v>
      </c>
      <c r="AG443" s="93"/>
      <c r="AH443" s="337"/>
      <c r="AI443" s="337"/>
      <c r="AJ443" s="337"/>
      <c r="AK443" s="337"/>
    </row>
    <row r="444" spans="1:37" ht="17.399999999999999" x14ac:dyDescent="0.35">
      <c r="A444" s="511"/>
      <c r="B444" s="164"/>
      <c r="C444" s="344" t="s">
        <v>236</v>
      </c>
      <c r="D444" s="345">
        <v>157647.1</v>
      </c>
      <c r="E444" s="345">
        <f t="shared" ref="E444:E446" si="64">D444/60</f>
        <v>2627.4516666666668</v>
      </c>
      <c r="F444" s="346">
        <v>173546</v>
      </c>
      <c r="G444" s="345">
        <v>2892.4333333333334</v>
      </c>
      <c r="H444" s="347">
        <v>231552.7</v>
      </c>
      <c r="I444" s="345">
        <f t="shared" si="63"/>
        <v>3859.211666666667</v>
      </c>
      <c r="J444" s="347">
        <v>249952</v>
      </c>
      <c r="K444" s="345">
        <f t="shared" si="63"/>
        <v>4165.8666666666668</v>
      </c>
      <c r="L444" s="349">
        <f>S438</f>
        <v>187220</v>
      </c>
      <c r="M444" s="345">
        <f t="shared" si="63"/>
        <v>3120.3333333333335</v>
      </c>
      <c r="N444" s="343"/>
      <c r="O444" s="345">
        <f t="shared" si="63"/>
        <v>0</v>
      </c>
      <c r="P444" s="349"/>
      <c r="Q444" s="345">
        <f t="shared" si="63"/>
        <v>0</v>
      </c>
      <c r="R444" s="349"/>
      <c r="S444" s="345">
        <f t="shared" si="63"/>
        <v>0</v>
      </c>
      <c r="T444" s="349"/>
      <c r="U444" s="343"/>
      <c r="V444" s="349"/>
      <c r="W444" s="343"/>
      <c r="X444" s="343"/>
      <c r="Y444" s="343"/>
      <c r="Z444" s="349"/>
      <c r="AA444" s="343"/>
      <c r="AC444" s="337" t="s">
        <v>240</v>
      </c>
      <c r="AD444" s="337" t="s">
        <v>560</v>
      </c>
      <c r="AE444" s="337">
        <v>297</v>
      </c>
      <c r="AF444" s="338">
        <v>495</v>
      </c>
      <c r="AG444" s="93"/>
      <c r="AH444" s="337"/>
      <c r="AI444" s="337"/>
      <c r="AJ444" s="337"/>
      <c r="AK444" s="337"/>
    </row>
    <row r="445" spans="1:37" ht="17.399999999999999" x14ac:dyDescent="0.35">
      <c r="A445" s="511"/>
      <c r="B445" s="164"/>
      <c r="C445" s="344" t="s">
        <v>237</v>
      </c>
      <c r="D445" s="345">
        <v>74670</v>
      </c>
      <c r="E445" s="345">
        <f t="shared" si="64"/>
        <v>1244.5</v>
      </c>
      <c r="F445" s="346">
        <v>96006.8</v>
      </c>
      <c r="G445" s="345">
        <v>1600.1133333333335</v>
      </c>
      <c r="H445" s="347">
        <v>138906.20000000001</v>
      </c>
      <c r="I445" s="345">
        <f t="shared" si="63"/>
        <v>2315.1033333333335</v>
      </c>
      <c r="J445" s="347">
        <v>95281.8</v>
      </c>
      <c r="K445" s="345">
        <f t="shared" si="63"/>
        <v>1588.03</v>
      </c>
      <c r="L445" s="349">
        <f>N438</f>
        <v>81555</v>
      </c>
      <c r="M445" s="345">
        <f t="shared" si="63"/>
        <v>1359.25</v>
      </c>
      <c r="N445" s="343"/>
      <c r="O445" s="345">
        <f t="shared" si="63"/>
        <v>0</v>
      </c>
      <c r="P445" s="349"/>
      <c r="Q445" s="345">
        <f t="shared" si="63"/>
        <v>0</v>
      </c>
      <c r="R445" s="349"/>
      <c r="S445" s="345">
        <f t="shared" si="63"/>
        <v>0</v>
      </c>
      <c r="T445" s="349"/>
      <c r="U445" s="343"/>
      <c r="V445" s="349"/>
      <c r="W445" s="343"/>
      <c r="X445" s="343"/>
      <c r="Y445" s="343"/>
      <c r="Z445" s="349"/>
      <c r="AA445" s="343"/>
      <c r="AC445" s="337" t="s">
        <v>855</v>
      </c>
      <c r="AD445" s="337" t="s">
        <v>456</v>
      </c>
      <c r="AE445" s="337">
        <v>29</v>
      </c>
      <c r="AF445" s="338">
        <v>1</v>
      </c>
      <c r="AG445" s="93"/>
      <c r="AH445" s="337"/>
      <c r="AI445" s="337"/>
      <c r="AJ445" s="337"/>
      <c r="AK445" s="337"/>
    </row>
    <row r="446" spans="1:37" ht="17.399999999999999" x14ac:dyDescent="0.35">
      <c r="A446" s="511"/>
      <c r="B446" s="164"/>
      <c r="C446" s="344" t="s">
        <v>238</v>
      </c>
      <c r="D446" s="345">
        <v>6660.85</v>
      </c>
      <c r="E446" s="345">
        <f t="shared" si="64"/>
        <v>111.01416666666667</v>
      </c>
      <c r="F446" s="346">
        <v>46265.5</v>
      </c>
      <c r="G446" s="345">
        <v>771.0916666666667</v>
      </c>
      <c r="H446" s="347">
        <v>90103.58</v>
      </c>
      <c r="I446" s="345">
        <f t="shared" si="63"/>
        <v>1501.7263333333333</v>
      </c>
      <c r="J446" s="347">
        <v>81565.8</v>
      </c>
      <c r="K446" s="345">
        <f t="shared" si="63"/>
        <v>1359.43</v>
      </c>
      <c r="L446" s="351">
        <f>X438</f>
        <v>19857.829999999998</v>
      </c>
      <c r="M446" s="345">
        <f>L446/60</f>
        <v>330.9638333333333</v>
      </c>
      <c r="N446" s="350"/>
      <c r="O446" s="345">
        <f t="shared" si="63"/>
        <v>0</v>
      </c>
      <c r="P446" s="351"/>
      <c r="Q446" s="345">
        <f t="shared" si="63"/>
        <v>0</v>
      </c>
      <c r="R446" s="351"/>
      <c r="S446" s="345">
        <f t="shared" si="63"/>
        <v>0</v>
      </c>
      <c r="T446" s="351"/>
      <c r="U446" s="343"/>
      <c r="V446" s="351"/>
      <c r="W446" s="343"/>
      <c r="X446" s="350"/>
      <c r="Y446" s="343"/>
      <c r="Z446" s="350"/>
      <c r="AA446" s="343"/>
      <c r="AC446" s="337" t="s">
        <v>856</v>
      </c>
      <c r="AD446" s="337" t="s">
        <v>456</v>
      </c>
      <c r="AE446" s="337">
        <v>60</v>
      </c>
      <c r="AF446" s="338">
        <v>1</v>
      </c>
      <c r="AG446" s="93"/>
      <c r="AH446" s="337"/>
      <c r="AI446" s="337"/>
      <c r="AJ446" s="337"/>
      <c r="AK446" s="337"/>
    </row>
    <row r="447" spans="1:37" ht="17.399999999999999" x14ac:dyDescent="0.35">
      <c r="A447" s="511"/>
      <c r="B447" s="265"/>
      <c r="C447" s="344" t="s">
        <v>239</v>
      </c>
      <c r="D447" s="345">
        <v>3672</v>
      </c>
      <c r="E447" s="345">
        <f>D447/60</f>
        <v>61.2</v>
      </c>
      <c r="F447" s="346">
        <v>72295.34</v>
      </c>
      <c r="G447" s="345">
        <v>1204.9223333333332</v>
      </c>
      <c r="H447" s="347">
        <v>69349.39999999998</v>
      </c>
      <c r="I447" s="345">
        <f t="shared" si="63"/>
        <v>1155.823333333333</v>
      </c>
      <c r="J447" s="347">
        <v>60896.53</v>
      </c>
      <c r="K447" s="345">
        <f t="shared" si="63"/>
        <v>1014.9421666666666</v>
      </c>
      <c r="L447" s="347">
        <f>AJ491</f>
        <v>35794.719999999994</v>
      </c>
      <c r="M447" s="345">
        <f t="shared" si="63"/>
        <v>596.57866666666655</v>
      </c>
      <c r="N447" s="343"/>
      <c r="O447" s="345">
        <f t="shared" si="63"/>
        <v>0</v>
      </c>
      <c r="P447" s="343"/>
      <c r="Q447" s="345">
        <f t="shared" si="63"/>
        <v>0</v>
      </c>
      <c r="R447" s="343"/>
      <c r="S447" s="345">
        <f t="shared" si="63"/>
        <v>0</v>
      </c>
      <c r="T447" s="343"/>
      <c r="U447" s="343"/>
      <c r="V447" s="343"/>
      <c r="W447" s="343"/>
      <c r="X447" s="343"/>
      <c r="Y447" s="343"/>
      <c r="Z447" s="343"/>
      <c r="AA447" s="343"/>
      <c r="AC447" s="337" t="s">
        <v>243</v>
      </c>
      <c r="AD447" s="337" t="s">
        <v>242</v>
      </c>
      <c r="AE447" s="339">
        <v>157.30000000000001</v>
      </c>
      <c r="AF447" s="338">
        <v>5</v>
      </c>
      <c r="AG447" s="93"/>
      <c r="AH447" s="337"/>
      <c r="AI447" s="337"/>
      <c r="AJ447" s="337"/>
      <c r="AK447" s="337"/>
    </row>
    <row r="448" spans="1:37" ht="17.399999999999999" x14ac:dyDescent="0.35">
      <c r="A448" s="511"/>
      <c r="B448" s="164"/>
      <c r="C448" s="162"/>
      <c r="D448" s="163"/>
      <c r="E448" s="352">
        <f>SUM(E442:E447)</f>
        <v>8988.8024999999998</v>
      </c>
      <c r="F448" s="353"/>
      <c r="G448" s="352">
        <f>SUM(G442:G447)</f>
        <v>13607.350666666669</v>
      </c>
      <c r="H448" s="347"/>
      <c r="I448" s="352">
        <f>SUM(I442:I447)</f>
        <v>17039.464666666667</v>
      </c>
      <c r="J448" s="347"/>
      <c r="K448" s="352">
        <f>SUM(K442:K447)</f>
        <v>16594.642166666668</v>
      </c>
      <c r="L448" s="343"/>
      <c r="M448" s="352">
        <f>SUM(M442:M447)</f>
        <v>13625.2125</v>
      </c>
      <c r="N448" s="343"/>
      <c r="O448" s="352">
        <f>SUM(O442:O447)</f>
        <v>0</v>
      </c>
      <c r="P448" s="343"/>
      <c r="Q448" s="352">
        <f>SUM(Q442:Q447)</f>
        <v>0</v>
      </c>
      <c r="R448" s="343"/>
      <c r="S448" s="352">
        <f>SUM(S442:S447)</f>
        <v>0</v>
      </c>
      <c r="T448" s="343"/>
      <c r="U448" s="354"/>
      <c r="V448" s="343"/>
      <c r="W448" s="354"/>
      <c r="X448" s="343"/>
      <c r="Y448" s="354"/>
      <c r="Z448" s="343"/>
      <c r="AA448" s="356"/>
      <c r="AC448" s="337" t="s">
        <v>616</v>
      </c>
      <c r="AD448" s="337" t="s">
        <v>242</v>
      </c>
      <c r="AE448" s="337">
        <v>225.92</v>
      </c>
      <c r="AF448" s="338">
        <v>6</v>
      </c>
      <c r="AG448" s="93"/>
      <c r="AH448" s="337"/>
      <c r="AI448" s="337"/>
      <c r="AJ448" s="337"/>
      <c r="AK448" s="337"/>
    </row>
    <row r="449" spans="1:37" ht="17.399999999999999" x14ac:dyDescent="0.35">
      <c r="A449" s="511"/>
      <c r="B449" s="164"/>
      <c r="C449" s="164"/>
      <c r="D449" s="164"/>
      <c r="E449" s="164"/>
      <c r="F449" s="287"/>
      <c r="G449" s="164"/>
      <c r="H449" s="164"/>
      <c r="I449" s="164"/>
      <c r="J449" s="164"/>
      <c r="K449" s="164"/>
      <c r="L449" s="164"/>
      <c r="M449" s="165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  <c r="AA449" s="164"/>
      <c r="AC449" s="337" t="s">
        <v>354</v>
      </c>
      <c r="AD449" s="337" t="s">
        <v>242</v>
      </c>
      <c r="AE449" s="337">
        <v>148</v>
      </c>
      <c r="AF449" s="338">
        <v>13</v>
      </c>
      <c r="AG449" s="93"/>
      <c r="AH449" s="337"/>
      <c r="AI449" s="337"/>
      <c r="AJ449" s="337"/>
      <c r="AK449" s="337"/>
    </row>
    <row r="450" spans="1:37" x14ac:dyDescent="0.3">
      <c r="A450" s="511"/>
      <c r="B450" s="93"/>
      <c r="C450" s="93"/>
      <c r="D450" s="93"/>
      <c r="E450" s="93"/>
      <c r="F450" s="286"/>
      <c r="G450" s="93"/>
      <c r="H450" s="93"/>
      <c r="I450" s="93"/>
      <c r="J450" s="93"/>
      <c r="K450" s="93"/>
      <c r="L450" s="93"/>
      <c r="M450" s="93"/>
      <c r="N450" s="252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C450" s="337" t="s">
        <v>359</v>
      </c>
      <c r="AD450" s="337" t="s">
        <v>242</v>
      </c>
      <c r="AE450" s="337">
        <v>62.7</v>
      </c>
      <c r="AF450" s="338">
        <v>3</v>
      </c>
      <c r="AG450" s="93"/>
      <c r="AH450" s="337"/>
      <c r="AI450" s="337"/>
      <c r="AJ450" s="337"/>
      <c r="AK450" s="337"/>
    </row>
    <row r="451" spans="1:37" x14ac:dyDescent="0.3">
      <c r="A451" s="511"/>
      <c r="B451" s="93"/>
      <c r="C451" s="93"/>
      <c r="D451" s="93"/>
      <c r="E451" s="93"/>
      <c r="F451" s="286"/>
      <c r="G451" s="93"/>
      <c r="H451" s="93"/>
      <c r="I451" s="93"/>
      <c r="J451" s="93"/>
      <c r="K451" s="93"/>
      <c r="L451" s="208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C451" s="337" t="s">
        <v>580</v>
      </c>
      <c r="AD451" s="337" t="s">
        <v>242</v>
      </c>
      <c r="AE451" s="337">
        <v>825.38</v>
      </c>
      <c r="AF451" s="338">
        <v>22</v>
      </c>
      <c r="AG451" s="93"/>
      <c r="AH451" s="337"/>
      <c r="AI451" s="337"/>
      <c r="AJ451" s="337"/>
      <c r="AK451" s="337"/>
    </row>
    <row r="452" spans="1:37" x14ac:dyDescent="0.3">
      <c r="A452" s="511"/>
      <c r="B452" s="93"/>
      <c r="C452" s="93"/>
      <c r="D452" s="93"/>
      <c r="E452" s="93"/>
      <c r="F452" s="286"/>
      <c r="G452" s="93"/>
      <c r="H452" s="93"/>
      <c r="I452" s="93"/>
      <c r="J452" s="93"/>
      <c r="K452" s="93"/>
      <c r="L452" s="208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C452" s="337" t="s">
        <v>581</v>
      </c>
      <c r="AD452" s="337" t="s">
        <v>242</v>
      </c>
      <c r="AE452" s="337">
        <v>420.19</v>
      </c>
      <c r="AF452" s="338">
        <v>11</v>
      </c>
      <c r="AG452" s="93"/>
      <c r="AH452" s="337"/>
      <c r="AI452" s="337"/>
      <c r="AJ452" s="337"/>
      <c r="AK452" s="337"/>
    </row>
    <row r="453" spans="1:37" ht="15" thickBot="1" x14ac:dyDescent="0.35">
      <c r="A453" s="511"/>
      <c r="B453" s="93"/>
      <c r="C453" s="93"/>
      <c r="D453" s="93"/>
      <c r="E453" s="93"/>
      <c r="F453" s="286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C453" s="337" t="s">
        <v>1005</v>
      </c>
      <c r="AD453" s="337" t="s">
        <v>242</v>
      </c>
      <c r="AE453" s="337">
        <v>95.4</v>
      </c>
      <c r="AF453" s="338">
        <v>4</v>
      </c>
      <c r="AG453" s="93"/>
      <c r="AH453" s="337"/>
      <c r="AI453" s="337"/>
      <c r="AJ453" s="337"/>
      <c r="AK453" s="337"/>
    </row>
    <row r="454" spans="1:37" ht="31.8" thickBot="1" x14ac:dyDescent="0.65">
      <c r="A454" s="511"/>
      <c r="B454" s="525" t="s">
        <v>246</v>
      </c>
      <c r="C454" s="525"/>
      <c r="D454" s="525"/>
      <c r="E454" s="525"/>
      <c r="F454" s="525"/>
      <c r="G454" s="525"/>
      <c r="H454" s="525"/>
      <c r="I454" s="525"/>
      <c r="J454" s="525"/>
      <c r="K454" s="525"/>
      <c r="L454" s="525"/>
      <c r="M454" s="525"/>
      <c r="N454" s="525"/>
      <c r="O454" s="525"/>
      <c r="P454" s="525"/>
      <c r="Q454" s="525"/>
      <c r="R454" s="525"/>
      <c r="S454" s="525"/>
      <c r="T454" s="525"/>
      <c r="U454" s="525"/>
      <c r="V454" s="525"/>
      <c r="W454" s="525"/>
      <c r="X454" s="525"/>
      <c r="Y454" s="525"/>
      <c r="Z454" s="525"/>
      <c r="AA454" s="526"/>
      <c r="AC454" s="337" t="s">
        <v>394</v>
      </c>
      <c r="AD454" s="337" t="s">
        <v>242</v>
      </c>
      <c r="AE454" s="337">
        <v>453.7</v>
      </c>
      <c r="AF454" s="338">
        <v>9</v>
      </c>
      <c r="AG454" s="93"/>
      <c r="AH454" s="337"/>
      <c r="AI454" s="337"/>
      <c r="AJ454" s="337"/>
      <c r="AK454" s="337"/>
    </row>
    <row r="455" spans="1:37" ht="17.399999999999999" thickBot="1" x14ac:dyDescent="0.35">
      <c r="A455" s="511"/>
      <c r="B455" s="527"/>
      <c r="C455" s="527"/>
      <c r="D455" s="166" t="s">
        <v>247</v>
      </c>
      <c r="E455" s="167" t="s">
        <v>248</v>
      </c>
      <c r="F455" s="374" t="s">
        <v>249</v>
      </c>
      <c r="G455" s="167" t="s">
        <v>250</v>
      </c>
      <c r="H455" s="166" t="s">
        <v>251</v>
      </c>
      <c r="I455" s="167" t="s">
        <v>252</v>
      </c>
      <c r="J455" s="166" t="s">
        <v>253</v>
      </c>
      <c r="K455" s="167" t="s">
        <v>254</v>
      </c>
      <c r="L455" s="166" t="s">
        <v>255</v>
      </c>
      <c r="M455" s="167" t="s">
        <v>256</v>
      </c>
      <c r="N455" s="168" t="s">
        <v>257</v>
      </c>
      <c r="O455" s="169" t="s">
        <v>258</v>
      </c>
      <c r="P455" s="166" t="s">
        <v>259</v>
      </c>
      <c r="Q455" s="167" t="s">
        <v>260</v>
      </c>
      <c r="R455" s="166" t="s">
        <v>261</v>
      </c>
      <c r="S455" s="167" t="s">
        <v>262</v>
      </c>
      <c r="T455" s="166" t="s">
        <v>263</v>
      </c>
      <c r="U455" s="166" t="s">
        <v>264</v>
      </c>
      <c r="V455" s="166" t="s">
        <v>265</v>
      </c>
      <c r="W455" s="170" t="s">
        <v>266</v>
      </c>
      <c r="X455" s="166" t="s">
        <v>267</v>
      </c>
      <c r="Y455" s="170" t="s">
        <v>268</v>
      </c>
      <c r="Z455" s="166" t="s">
        <v>269</v>
      </c>
      <c r="AA455" s="170" t="s">
        <v>270</v>
      </c>
      <c r="AC455" s="337" t="s">
        <v>397</v>
      </c>
      <c r="AD455" s="337" t="s">
        <v>242</v>
      </c>
      <c r="AE455" s="337">
        <v>307</v>
      </c>
      <c r="AF455" s="338">
        <v>5</v>
      </c>
      <c r="AG455" s="93"/>
      <c r="AH455" s="337"/>
      <c r="AI455" s="337"/>
      <c r="AJ455" s="337"/>
      <c r="AK455" s="337"/>
    </row>
    <row r="456" spans="1:37" ht="17.399999999999999" x14ac:dyDescent="0.35">
      <c r="A456" s="511"/>
      <c r="B456" s="357">
        <v>110012</v>
      </c>
      <c r="C456" s="171" t="s">
        <v>272</v>
      </c>
      <c r="D456" s="372">
        <v>707750.65</v>
      </c>
      <c r="E456" s="204">
        <f>D456/60</f>
        <v>11795.844166666668</v>
      </c>
      <c r="F456" s="372">
        <v>953892</v>
      </c>
      <c r="G456" s="204">
        <f>F456/60</f>
        <v>15898.2</v>
      </c>
      <c r="H456" s="372">
        <v>1116136.94</v>
      </c>
      <c r="I456" s="204">
        <f>H456/60</f>
        <v>18602.282333333333</v>
      </c>
      <c r="J456" s="372">
        <v>995678.48999999976</v>
      </c>
      <c r="K456" s="376">
        <f>J456/60</f>
        <v>16594.641499999994</v>
      </c>
      <c r="L456" s="172">
        <v>817512.75</v>
      </c>
      <c r="M456" s="173">
        <f>L456/60</f>
        <v>13625.2125</v>
      </c>
      <c r="N456" s="176"/>
      <c r="O456" s="173">
        <f>N456/60</f>
        <v>0</v>
      </c>
      <c r="P456" s="177"/>
      <c r="Q456" s="173">
        <f>P456/60</f>
        <v>0</v>
      </c>
      <c r="R456" s="176"/>
      <c r="S456" s="173">
        <f>R456/60</f>
        <v>0</v>
      </c>
      <c r="T456" s="176"/>
      <c r="U456" s="173">
        <f>T456/60</f>
        <v>0</v>
      </c>
      <c r="V456" s="176"/>
      <c r="W456" s="173">
        <f>V456/60</f>
        <v>0</v>
      </c>
      <c r="X456" s="176"/>
      <c r="Y456" s="173">
        <f>X456/60</f>
        <v>0</v>
      </c>
      <c r="Z456" s="176"/>
      <c r="AA456" s="173">
        <f>Z456/60</f>
        <v>0</v>
      </c>
      <c r="AC456" s="337" t="s">
        <v>757</v>
      </c>
      <c r="AD456" s="337" t="s">
        <v>431</v>
      </c>
      <c r="AE456" s="337">
        <v>90</v>
      </c>
      <c r="AF456" s="338">
        <v>2</v>
      </c>
      <c r="AG456" s="93"/>
      <c r="AH456" s="337"/>
      <c r="AI456" s="337"/>
      <c r="AJ456" s="339"/>
      <c r="AK456" s="337"/>
    </row>
    <row r="457" spans="1:37" ht="17.399999999999999" x14ac:dyDescent="0.35">
      <c r="A457" s="511"/>
      <c r="B457" s="358">
        <v>110050</v>
      </c>
      <c r="C457" s="178" t="s">
        <v>274</v>
      </c>
      <c r="D457" s="372">
        <v>95098.28</v>
      </c>
      <c r="E457" s="281">
        <f>D457/60</f>
        <v>1584.9713333333334</v>
      </c>
      <c r="F457" s="372">
        <v>142327.5</v>
      </c>
      <c r="G457" s="281">
        <f>F457/60</f>
        <v>2372.125</v>
      </c>
      <c r="H457" s="372">
        <v>150523.96</v>
      </c>
      <c r="I457" s="281">
        <f>H457/60</f>
        <v>2508.7326666666663</v>
      </c>
      <c r="J457" s="372">
        <v>134640.28000000003</v>
      </c>
      <c r="K457" s="180">
        <f>J457/60</f>
        <v>2244.0046666666672</v>
      </c>
      <c r="L457" s="179">
        <v>105169.62</v>
      </c>
      <c r="M457" s="180">
        <f>L457/60</f>
        <v>1752.827</v>
      </c>
      <c r="N457" s="182"/>
      <c r="O457" s="180">
        <f>N457/60</f>
        <v>0</v>
      </c>
      <c r="P457" s="183"/>
      <c r="Q457" s="180">
        <f>P457/60</f>
        <v>0</v>
      </c>
      <c r="R457" s="182"/>
      <c r="S457" s="180">
        <f>R457/60</f>
        <v>0</v>
      </c>
      <c r="T457" s="182"/>
      <c r="U457" s="184">
        <f>T457/60</f>
        <v>0</v>
      </c>
      <c r="V457" s="182"/>
      <c r="W457" s="184">
        <f>V457/60</f>
        <v>0</v>
      </c>
      <c r="X457" s="182"/>
      <c r="Y457" s="184">
        <f>X457/60</f>
        <v>0</v>
      </c>
      <c r="Z457" s="182"/>
      <c r="AA457" s="184">
        <f>Z457/60</f>
        <v>0</v>
      </c>
      <c r="AC457" s="337" t="s">
        <v>297</v>
      </c>
      <c r="AD457" s="337" t="s">
        <v>298</v>
      </c>
      <c r="AE457" s="337">
        <v>350.72</v>
      </c>
      <c r="AF457" s="338">
        <v>104</v>
      </c>
      <c r="AG457" s="93"/>
      <c r="AH457" s="337"/>
      <c r="AI457" s="337"/>
      <c r="AJ457" s="337"/>
      <c r="AK457" s="337"/>
    </row>
    <row r="458" spans="1:37" ht="17.399999999999999" x14ac:dyDescent="0.35">
      <c r="A458" s="511"/>
      <c r="B458" s="358">
        <v>110051</v>
      </c>
      <c r="C458" s="178" t="s">
        <v>276</v>
      </c>
      <c r="D458" s="372">
        <v>55925.482000000004</v>
      </c>
      <c r="E458" s="281">
        <f t="shared" ref="E458:E459" si="65">D458/60</f>
        <v>932.09136666666677</v>
      </c>
      <c r="F458" s="372">
        <v>110164.546</v>
      </c>
      <c r="G458" s="281">
        <f>F458/60</f>
        <v>1836.0757666666666</v>
      </c>
      <c r="H458" s="372">
        <v>96142.494999999995</v>
      </c>
      <c r="I458" s="281">
        <f>H458/60</f>
        <v>1602.3749166666666</v>
      </c>
      <c r="J458" s="372">
        <v>86890.055999999953</v>
      </c>
      <c r="K458" s="180">
        <f>J458/60</f>
        <v>1448.1675999999993</v>
      </c>
      <c r="L458" s="179">
        <v>55339.536</v>
      </c>
      <c r="M458" s="180">
        <f>L458/60</f>
        <v>922.32560000000001</v>
      </c>
      <c r="N458" s="182"/>
      <c r="O458" s="180">
        <f>N458/60</f>
        <v>0</v>
      </c>
      <c r="P458" s="183"/>
      <c r="Q458" s="180">
        <f>P458/60</f>
        <v>0</v>
      </c>
      <c r="R458" s="182"/>
      <c r="S458" s="180">
        <f>R458/60</f>
        <v>0</v>
      </c>
      <c r="T458" s="182"/>
      <c r="U458" s="184">
        <f>T458/60</f>
        <v>0</v>
      </c>
      <c r="V458" s="182"/>
      <c r="W458" s="184">
        <f>V458/60</f>
        <v>0</v>
      </c>
      <c r="X458" s="182"/>
      <c r="Y458" s="184">
        <f>X458/60</f>
        <v>0</v>
      </c>
      <c r="Z458" s="182"/>
      <c r="AA458" s="184">
        <f>Z458/60</f>
        <v>0</v>
      </c>
      <c r="AC458" s="337" t="s">
        <v>299</v>
      </c>
      <c r="AD458" s="337" t="s">
        <v>298</v>
      </c>
      <c r="AE458" s="337">
        <v>350.72</v>
      </c>
      <c r="AF458" s="338">
        <v>104</v>
      </c>
      <c r="AG458" s="93"/>
      <c r="AH458" s="337"/>
      <c r="AI458" s="337"/>
      <c r="AJ458" s="337"/>
      <c r="AK458" s="337"/>
    </row>
    <row r="459" spans="1:37" ht="17.399999999999999" x14ac:dyDescent="0.35">
      <c r="A459" s="511"/>
      <c r="B459" s="358">
        <v>110015</v>
      </c>
      <c r="C459" s="178" t="s">
        <v>278</v>
      </c>
      <c r="D459" s="372">
        <v>66273.13</v>
      </c>
      <c r="E459" s="281">
        <f t="shared" si="65"/>
        <v>1104.5521666666668</v>
      </c>
      <c r="F459" s="372">
        <v>119406.5</v>
      </c>
      <c r="G459" s="281">
        <f t="shared" ref="G459" si="66">F459/60</f>
        <v>1990.1083333333333</v>
      </c>
      <c r="H459" s="372">
        <v>137329.85</v>
      </c>
      <c r="I459" s="308"/>
      <c r="J459" s="372">
        <v>104297.36000000003</v>
      </c>
      <c r="K459" s="185"/>
      <c r="L459" s="179">
        <v>79732.549999999959</v>
      </c>
      <c r="M459" s="185"/>
      <c r="N459" s="182"/>
      <c r="O459" s="185"/>
      <c r="P459" s="183"/>
      <c r="Q459" s="185"/>
      <c r="R459" s="182"/>
      <c r="S459" s="185"/>
      <c r="T459" s="182"/>
      <c r="U459" s="185"/>
      <c r="V459" s="182"/>
      <c r="W459" s="185"/>
      <c r="X459" s="182"/>
      <c r="Y459" s="185"/>
      <c r="Z459" s="182"/>
      <c r="AA459" s="185"/>
      <c r="AC459" s="337" t="s">
        <v>424</v>
      </c>
      <c r="AD459" s="337" t="s">
        <v>654</v>
      </c>
      <c r="AE459" s="337">
        <v>450</v>
      </c>
      <c r="AF459" s="338">
        <v>60</v>
      </c>
      <c r="AG459" s="93"/>
      <c r="AH459" s="337"/>
      <c r="AI459" s="337"/>
      <c r="AJ459" s="337"/>
      <c r="AK459" s="337"/>
    </row>
    <row r="460" spans="1:37" ht="17.399999999999999" x14ac:dyDescent="0.35">
      <c r="A460" s="511"/>
      <c r="B460" s="358">
        <v>110011</v>
      </c>
      <c r="C460" s="178" t="s">
        <v>281</v>
      </c>
      <c r="D460" s="372">
        <v>36110.400000000001</v>
      </c>
      <c r="E460" s="281">
        <f>D460/60</f>
        <v>601.84</v>
      </c>
      <c r="F460" s="372">
        <v>56314.400000000001</v>
      </c>
      <c r="G460" s="281">
        <f>F460/60</f>
        <v>938.57333333333338</v>
      </c>
      <c r="H460" s="372">
        <v>63351.4</v>
      </c>
      <c r="I460" s="308"/>
      <c r="J460" s="372">
        <v>52454.400000000009</v>
      </c>
      <c r="K460" s="185"/>
      <c r="L460" s="179">
        <v>45019.400000000023</v>
      </c>
      <c r="M460" s="185"/>
      <c r="N460" s="182"/>
      <c r="O460" s="185"/>
      <c r="P460" s="183"/>
      <c r="Q460" s="185"/>
      <c r="R460" s="182"/>
      <c r="S460" s="185"/>
      <c r="T460" s="182"/>
      <c r="U460" s="185"/>
      <c r="V460" s="182"/>
      <c r="W460" s="185"/>
      <c r="X460" s="182"/>
      <c r="Y460" s="185"/>
      <c r="Z460" s="182"/>
      <c r="AA460" s="185"/>
      <c r="AC460" s="337" t="s">
        <v>760</v>
      </c>
      <c r="AD460" s="337" t="s">
        <v>301</v>
      </c>
      <c r="AE460" s="337">
        <v>78</v>
      </c>
      <c r="AF460" s="338">
        <v>12</v>
      </c>
      <c r="AG460" s="93"/>
      <c r="AH460" s="337"/>
      <c r="AI460" s="337"/>
      <c r="AJ460" s="337"/>
      <c r="AK460" s="337"/>
    </row>
    <row r="461" spans="1:37" ht="17.399999999999999" x14ac:dyDescent="0.35">
      <c r="A461" s="511"/>
      <c r="B461" s="358"/>
      <c r="C461" s="178" t="s">
        <v>283</v>
      </c>
      <c r="D461" s="206">
        <f>SUM(D459:D460)</f>
        <v>102383.53</v>
      </c>
      <c r="E461" s="281">
        <f>D461/60</f>
        <v>1706.3921666666668</v>
      </c>
      <c r="F461" s="206">
        <v>175720.9</v>
      </c>
      <c r="G461" s="281">
        <v>2928.6816666666664</v>
      </c>
      <c r="H461" s="206">
        <f>SUM(H459:H460)</f>
        <v>200681.25</v>
      </c>
      <c r="I461" s="281">
        <f>H461/60</f>
        <v>3344.6875</v>
      </c>
      <c r="J461" s="206">
        <f>SUM(J459:J460)</f>
        <v>156751.76000000004</v>
      </c>
      <c r="K461" s="180">
        <f t="shared" ref="K461" si="67">J461/60</f>
        <v>2612.5293333333339</v>
      </c>
      <c r="L461" s="206">
        <f>SUM(L459:L460)</f>
        <v>124751.94999999998</v>
      </c>
      <c r="M461" s="180">
        <f t="shared" ref="M461:M466" si="68">L461/60</f>
        <v>2079.1991666666663</v>
      </c>
      <c r="N461" s="179"/>
      <c r="O461" s="180">
        <f t="shared" ref="O461:O466" si="69">N461/60</f>
        <v>0</v>
      </c>
      <c r="P461" s="187"/>
      <c r="Q461" s="180">
        <f t="shared" ref="Q461:Q466" si="70">P461/60</f>
        <v>0</v>
      </c>
      <c r="R461" s="187"/>
      <c r="S461" s="180">
        <f t="shared" ref="S461:S466" si="71">R461/60</f>
        <v>0</v>
      </c>
      <c r="T461" s="187"/>
      <c r="U461" s="180">
        <f t="shared" ref="U461:U466" si="72">T461/60</f>
        <v>0</v>
      </c>
      <c r="V461" s="187"/>
      <c r="W461" s="180">
        <f t="shared" ref="W461:W466" si="73">V461/60</f>
        <v>0</v>
      </c>
      <c r="X461" s="187"/>
      <c r="Y461" s="180">
        <f t="shared" ref="Y461:Y466" si="74">X461/60</f>
        <v>0</v>
      </c>
      <c r="Z461" s="187"/>
      <c r="AA461" s="180">
        <f t="shared" ref="AA461:AA466" si="75">Z461/60</f>
        <v>0</v>
      </c>
      <c r="AC461" s="337" t="s">
        <v>761</v>
      </c>
      <c r="AD461" s="337" t="s">
        <v>301</v>
      </c>
      <c r="AE461" s="337">
        <v>64.8</v>
      </c>
      <c r="AF461" s="338">
        <v>12</v>
      </c>
      <c r="AG461" s="93"/>
      <c r="AH461" s="337"/>
      <c r="AI461" s="337"/>
      <c r="AJ461" s="337"/>
      <c r="AK461" s="337"/>
    </row>
    <row r="462" spans="1:37" ht="17.399999999999999" x14ac:dyDescent="0.35">
      <c r="A462" s="511"/>
      <c r="B462" s="358">
        <v>110030</v>
      </c>
      <c r="C462" s="188" t="s">
        <v>285</v>
      </c>
      <c r="D462" s="372">
        <v>74921.38</v>
      </c>
      <c r="E462" s="205">
        <f t="shared" ref="E462:E466" si="76">D462/60</f>
        <v>1248.6896666666667</v>
      </c>
      <c r="F462" s="372">
        <v>61195.6</v>
      </c>
      <c r="G462" s="205">
        <f>F462/60</f>
        <v>1019.9266666666666</v>
      </c>
      <c r="H462" s="372">
        <v>60659.64</v>
      </c>
      <c r="I462" s="205">
        <f t="shared" ref="I462:I466" si="77">H462/60</f>
        <v>1010.994</v>
      </c>
      <c r="J462" s="372">
        <v>55162.520000000004</v>
      </c>
      <c r="K462" s="205">
        <f>J462/60</f>
        <v>919.3753333333334</v>
      </c>
      <c r="L462" s="179">
        <v>26240.46</v>
      </c>
      <c r="M462" s="189">
        <f t="shared" si="68"/>
        <v>437.34100000000001</v>
      </c>
      <c r="N462" s="182"/>
      <c r="O462" s="189">
        <f t="shared" si="69"/>
        <v>0</v>
      </c>
      <c r="P462" s="183"/>
      <c r="Q462" s="189">
        <f t="shared" si="70"/>
        <v>0</v>
      </c>
      <c r="R462" s="182"/>
      <c r="S462" s="189">
        <f t="shared" si="71"/>
        <v>0</v>
      </c>
      <c r="T462" s="182"/>
      <c r="U462" s="189">
        <f t="shared" si="72"/>
        <v>0</v>
      </c>
      <c r="V462" s="182"/>
      <c r="W462" s="189">
        <f t="shared" si="73"/>
        <v>0</v>
      </c>
      <c r="X462" s="182"/>
      <c r="Y462" s="189">
        <f t="shared" si="74"/>
        <v>0</v>
      </c>
      <c r="Z462" s="187"/>
      <c r="AA462" s="189">
        <f t="shared" si="75"/>
        <v>0</v>
      </c>
      <c r="AC462" s="337" t="s">
        <v>308</v>
      </c>
      <c r="AD462" s="337" t="s">
        <v>301</v>
      </c>
      <c r="AE462" s="337">
        <v>808.5</v>
      </c>
      <c r="AF462" s="338">
        <v>11</v>
      </c>
      <c r="AG462" s="93"/>
      <c r="AH462" s="337"/>
      <c r="AI462" s="337"/>
      <c r="AJ462" s="337"/>
      <c r="AK462" s="337"/>
    </row>
    <row r="463" spans="1:37" ht="17.399999999999999" x14ac:dyDescent="0.35">
      <c r="A463" s="511"/>
      <c r="B463" s="358">
        <v>110100</v>
      </c>
      <c r="C463" s="188" t="s">
        <v>287</v>
      </c>
      <c r="D463" s="372">
        <v>125435</v>
      </c>
      <c r="E463" s="205">
        <f t="shared" si="76"/>
        <v>2090.5833333333335</v>
      </c>
      <c r="F463" s="372">
        <v>186939</v>
      </c>
      <c r="G463" s="205">
        <f t="shared" ref="G463:G466" si="78">F463/60</f>
        <v>3115.65</v>
      </c>
      <c r="H463" s="372">
        <v>210877</v>
      </c>
      <c r="I463" s="205">
        <f t="shared" si="77"/>
        <v>3514.6166666666668</v>
      </c>
      <c r="J463" s="372">
        <v>187053</v>
      </c>
      <c r="K463" s="189">
        <f t="shared" ref="K463:K466" si="79">J463/60</f>
        <v>3117.55</v>
      </c>
      <c r="L463" s="179">
        <v>177392</v>
      </c>
      <c r="M463" s="189">
        <f t="shared" si="68"/>
        <v>2956.5333333333333</v>
      </c>
      <c r="N463" s="182"/>
      <c r="O463" s="189">
        <f t="shared" si="69"/>
        <v>0</v>
      </c>
      <c r="P463" s="183"/>
      <c r="Q463" s="189">
        <f t="shared" si="70"/>
        <v>0</v>
      </c>
      <c r="R463" s="182"/>
      <c r="S463" s="189">
        <f t="shared" si="71"/>
        <v>0</v>
      </c>
      <c r="T463" s="182"/>
      <c r="U463" s="189">
        <f t="shared" si="72"/>
        <v>0</v>
      </c>
      <c r="V463" s="182"/>
      <c r="W463" s="189">
        <f t="shared" si="73"/>
        <v>0</v>
      </c>
      <c r="X463" s="182"/>
      <c r="Y463" s="189">
        <f t="shared" si="74"/>
        <v>0</v>
      </c>
      <c r="Z463" s="182"/>
      <c r="AA463" s="189">
        <f t="shared" si="75"/>
        <v>0</v>
      </c>
      <c r="AC463" s="337" t="s">
        <v>306</v>
      </c>
      <c r="AD463" s="337" t="s">
        <v>301</v>
      </c>
      <c r="AE463" s="339">
        <v>1459.64</v>
      </c>
      <c r="AF463" s="338">
        <v>14</v>
      </c>
      <c r="AG463" s="93"/>
      <c r="AH463" s="337"/>
      <c r="AI463" s="337"/>
      <c r="AJ463" s="337"/>
      <c r="AK463" s="337"/>
    </row>
    <row r="464" spans="1:37" ht="17.399999999999999" x14ac:dyDescent="0.35">
      <c r="A464" s="511"/>
      <c r="B464" s="358">
        <v>110110</v>
      </c>
      <c r="C464" s="190" t="s">
        <v>289</v>
      </c>
      <c r="D464" s="372">
        <v>291894</v>
      </c>
      <c r="E464" s="205">
        <f t="shared" si="76"/>
        <v>4864.8999999999996</v>
      </c>
      <c r="F464" s="372">
        <v>468510</v>
      </c>
      <c r="G464" s="205">
        <f t="shared" si="78"/>
        <v>7808.5</v>
      </c>
      <c r="H464" s="372">
        <v>561192</v>
      </c>
      <c r="I464" s="309">
        <f t="shared" si="77"/>
        <v>9353.2000000000007</v>
      </c>
      <c r="J464" s="372">
        <v>491073</v>
      </c>
      <c r="K464" s="193">
        <f t="shared" si="79"/>
        <v>8184.55</v>
      </c>
      <c r="L464" s="192">
        <v>389975</v>
      </c>
      <c r="M464" s="193">
        <f t="shared" si="68"/>
        <v>6499.583333333333</v>
      </c>
      <c r="N464" s="191"/>
      <c r="O464" s="193">
        <f t="shared" si="69"/>
        <v>0</v>
      </c>
      <c r="P464" s="195"/>
      <c r="Q464" s="193">
        <f t="shared" si="70"/>
        <v>0</v>
      </c>
      <c r="R464" s="191"/>
      <c r="S464" s="193">
        <f t="shared" si="71"/>
        <v>0</v>
      </c>
      <c r="T464" s="191"/>
      <c r="U464" s="193">
        <f t="shared" si="72"/>
        <v>0</v>
      </c>
      <c r="V464" s="191"/>
      <c r="W464" s="193">
        <f t="shared" si="73"/>
        <v>0</v>
      </c>
      <c r="X464" s="191"/>
      <c r="Y464" s="193">
        <f t="shared" si="74"/>
        <v>0</v>
      </c>
      <c r="Z464" s="191"/>
      <c r="AA464" s="193">
        <f t="shared" si="75"/>
        <v>0</v>
      </c>
      <c r="AC464" s="337" t="s">
        <v>300</v>
      </c>
      <c r="AD464" s="337" t="s">
        <v>301</v>
      </c>
      <c r="AE464" s="337">
        <v>180.5</v>
      </c>
      <c r="AF464" s="338">
        <v>1</v>
      </c>
      <c r="AG464" s="93"/>
      <c r="AH464" s="337"/>
      <c r="AI464" s="337"/>
      <c r="AJ464" s="337"/>
      <c r="AK464" s="337"/>
    </row>
    <row r="465" spans="1:37" ht="17.399999999999999" x14ac:dyDescent="0.35">
      <c r="A465" s="511"/>
      <c r="B465" s="358">
        <v>110060</v>
      </c>
      <c r="C465" s="190" t="s">
        <v>291</v>
      </c>
      <c r="D465" s="372">
        <v>31265.64</v>
      </c>
      <c r="E465" s="205">
        <f t="shared" si="76"/>
        <v>521.09399999999994</v>
      </c>
      <c r="F465" s="372">
        <v>51495.199999999997</v>
      </c>
      <c r="G465" s="205">
        <f t="shared" si="78"/>
        <v>858.25333333333333</v>
      </c>
      <c r="H465" s="372">
        <v>61745.94</v>
      </c>
      <c r="I465" s="309">
        <f t="shared" si="77"/>
        <v>1029.0989999999999</v>
      </c>
      <c r="J465" s="372">
        <v>44311.280000000021</v>
      </c>
      <c r="K465" s="193">
        <f t="shared" si="79"/>
        <v>738.5213333333337</v>
      </c>
      <c r="L465" s="179">
        <v>40948.400000000009</v>
      </c>
      <c r="M465" s="193">
        <f t="shared" si="68"/>
        <v>682.47333333333347</v>
      </c>
      <c r="N465" s="179"/>
      <c r="O465" s="193">
        <f t="shared" si="69"/>
        <v>0</v>
      </c>
      <c r="P465" s="187"/>
      <c r="Q465" s="193">
        <f t="shared" si="70"/>
        <v>0</v>
      </c>
      <c r="R465" s="343"/>
      <c r="S465" s="193">
        <f t="shared" si="71"/>
        <v>0</v>
      </c>
      <c r="T465" s="349"/>
      <c r="U465" s="193">
        <f t="shared" si="72"/>
        <v>0</v>
      </c>
      <c r="V465" s="343"/>
      <c r="W465" s="193">
        <f t="shared" si="73"/>
        <v>0</v>
      </c>
      <c r="X465" s="359"/>
      <c r="Y465" s="360">
        <f t="shared" si="74"/>
        <v>0</v>
      </c>
      <c r="Z465" s="359"/>
      <c r="AA465" s="189">
        <f t="shared" si="75"/>
        <v>0</v>
      </c>
      <c r="AC465" s="337" t="s">
        <v>763</v>
      </c>
      <c r="AD465" s="337" t="s">
        <v>399</v>
      </c>
      <c r="AE465" s="337">
        <v>572</v>
      </c>
      <c r="AF465" s="338">
        <v>44</v>
      </c>
      <c r="AG465" s="93"/>
      <c r="AH465" s="337"/>
      <c r="AI465" s="337"/>
      <c r="AJ465" s="337"/>
      <c r="AK465" s="337"/>
    </row>
    <row r="466" spans="1:37" ht="18" thickBot="1" x14ac:dyDescent="0.4">
      <c r="A466" s="511"/>
      <c r="B466" s="361">
        <v>110111</v>
      </c>
      <c r="C466" s="371" t="s">
        <v>292</v>
      </c>
      <c r="D466" s="373">
        <v>70826</v>
      </c>
      <c r="E466" s="310">
        <f t="shared" si="76"/>
        <v>1180.4333333333334</v>
      </c>
      <c r="F466" s="373">
        <v>74846</v>
      </c>
      <c r="G466" s="310">
        <f t="shared" si="78"/>
        <v>1247.4333333333334</v>
      </c>
      <c r="H466" s="373">
        <v>117541</v>
      </c>
      <c r="I466" s="310">
        <f t="shared" si="77"/>
        <v>1959.0166666666667</v>
      </c>
      <c r="J466" s="373">
        <v>91449</v>
      </c>
      <c r="K466" s="198">
        <f t="shared" si="79"/>
        <v>1524.15</v>
      </c>
      <c r="L466" s="197">
        <v>90315</v>
      </c>
      <c r="M466" s="198">
        <f t="shared" si="68"/>
        <v>1505.25</v>
      </c>
      <c r="N466" s="197"/>
      <c r="O466" s="198">
        <f t="shared" si="69"/>
        <v>0</v>
      </c>
      <c r="P466" s="199"/>
      <c r="Q466" s="198">
        <f t="shared" si="70"/>
        <v>0</v>
      </c>
      <c r="R466" s="200"/>
      <c r="S466" s="198">
        <f t="shared" si="71"/>
        <v>0</v>
      </c>
      <c r="T466" s="201"/>
      <c r="U466" s="198">
        <f t="shared" si="72"/>
        <v>0</v>
      </c>
      <c r="V466" s="200"/>
      <c r="W466" s="198">
        <f t="shared" si="73"/>
        <v>0</v>
      </c>
      <c r="X466" s="200"/>
      <c r="Y466" s="202">
        <f t="shared" si="74"/>
        <v>0</v>
      </c>
      <c r="Z466" s="200"/>
      <c r="AA466" s="198">
        <f t="shared" si="75"/>
        <v>0</v>
      </c>
      <c r="AC466" s="337" t="s">
        <v>216</v>
      </c>
      <c r="AD466" s="337" t="s">
        <v>399</v>
      </c>
      <c r="AE466" s="337">
        <v>297.60000000000002</v>
      </c>
      <c r="AF466" s="338">
        <v>48</v>
      </c>
      <c r="AG466" s="93"/>
      <c r="AH466" s="337"/>
      <c r="AI466" s="337"/>
      <c r="AJ466" s="337"/>
      <c r="AK466" s="337"/>
    </row>
    <row r="467" spans="1:37" x14ac:dyDescent="0.3">
      <c r="A467" s="511"/>
      <c r="B467" s="93"/>
      <c r="C467" s="93"/>
      <c r="D467" s="93"/>
      <c r="E467" s="93"/>
      <c r="F467" s="286"/>
      <c r="G467" s="93"/>
      <c r="H467" s="208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252"/>
      <c r="U467" s="93"/>
      <c r="V467" s="93"/>
      <c r="W467" s="93"/>
      <c r="X467" s="93"/>
      <c r="Y467" s="93"/>
      <c r="Z467" s="93"/>
      <c r="AA467" s="93"/>
      <c r="AC467" s="337" t="s">
        <v>215</v>
      </c>
      <c r="AD467" s="337" t="s">
        <v>399</v>
      </c>
      <c r="AE467" s="337">
        <v>27.6</v>
      </c>
      <c r="AF467" s="338">
        <v>2</v>
      </c>
      <c r="AG467" s="93"/>
      <c r="AH467" s="337"/>
      <c r="AI467" s="337"/>
      <c r="AJ467" s="337"/>
      <c r="AK467" s="337"/>
    </row>
    <row r="468" spans="1:37" x14ac:dyDescent="0.3">
      <c r="A468" s="511"/>
      <c r="B468" s="93"/>
      <c r="C468" s="93"/>
      <c r="D468" s="93"/>
      <c r="E468" s="93"/>
      <c r="F468" s="286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252"/>
      <c r="U468" s="93"/>
      <c r="V468" s="93"/>
      <c r="W468" s="93"/>
      <c r="X468" s="93"/>
      <c r="Y468" s="93"/>
      <c r="Z468" s="93"/>
      <c r="AA468" s="93"/>
      <c r="AC468" s="337" t="s">
        <v>764</v>
      </c>
      <c r="AD468" s="337" t="s">
        <v>303</v>
      </c>
      <c r="AE468" s="337">
        <v>528</v>
      </c>
      <c r="AF468" s="338">
        <v>44</v>
      </c>
      <c r="AG468" s="93"/>
      <c r="AH468" s="337"/>
      <c r="AI468" s="337"/>
      <c r="AJ468" s="337"/>
      <c r="AK468" s="337"/>
    </row>
    <row r="469" spans="1:37" x14ac:dyDescent="0.3">
      <c r="A469" s="511"/>
      <c r="B469" s="93"/>
      <c r="C469" s="93"/>
      <c r="D469" s="93"/>
      <c r="E469" s="93"/>
      <c r="F469" s="286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252"/>
      <c r="U469" s="93"/>
      <c r="V469" s="93"/>
      <c r="W469" s="93"/>
      <c r="X469" s="93"/>
      <c r="Y469" s="93"/>
      <c r="Z469" s="93"/>
      <c r="AA469" s="93"/>
      <c r="AC469" s="337" t="s">
        <v>302</v>
      </c>
      <c r="AD469" s="337" t="s">
        <v>303</v>
      </c>
      <c r="AE469" s="337">
        <v>393.6</v>
      </c>
      <c r="AF469" s="338">
        <v>48</v>
      </c>
      <c r="AG469" s="93"/>
      <c r="AH469" s="337"/>
      <c r="AI469" s="337"/>
      <c r="AJ469" s="338"/>
      <c r="AK469" s="338"/>
    </row>
    <row r="470" spans="1:37" x14ac:dyDescent="0.3">
      <c r="A470" s="511"/>
      <c r="B470" s="93"/>
      <c r="C470" s="93"/>
      <c r="D470" s="93"/>
      <c r="E470" s="93"/>
      <c r="F470" s="286"/>
      <c r="G470" s="93"/>
      <c r="H470" s="93"/>
      <c r="I470" s="369"/>
      <c r="J470" s="379" t="s">
        <v>975</v>
      </c>
      <c r="K470" s="380">
        <v>28230</v>
      </c>
      <c r="L470" s="93"/>
      <c r="M470" s="93"/>
      <c r="N470" s="93"/>
      <c r="O470" s="93"/>
      <c r="P470" s="93"/>
      <c r="Q470" s="93"/>
      <c r="R470" s="93"/>
      <c r="S470" s="93"/>
      <c r="T470" s="252"/>
      <c r="U470" s="93"/>
      <c r="V470" s="379"/>
      <c r="W470" s="380"/>
      <c r="X470" s="93"/>
      <c r="Y470" s="93"/>
      <c r="Z470" s="93"/>
      <c r="AA470" s="93"/>
      <c r="AC470" s="337" t="s">
        <v>364</v>
      </c>
      <c r="AD470" s="337" t="s">
        <v>365</v>
      </c>
      <c r="AE470" s="337">
        <v>408.48</v>
      </c>
      <c r="AF470" s="338">
        <v>48</v>
      </c>
      <c r="AG470" s="93"/>
      <c r="AH470" s="337"/>
      <c r="AI470" s="337"/>
      <c r="AJ470" s="338"/>
      <c r="AK470" s="338"/>
    </row>
    <row r="471" spans="1:37" x14ac:dyDescent="0.3">
      <c r="A471" s="511"/>
      <c r="B471" s="93"/>
      <c r="C471" s="93"/>
      <c r="D471" s="93"/>
      <c r="E471" s="93"/>
      <c r="F471" s="286"/>
      <c r="G471" s="93"/>
      <c r="H471" s="93"/>
      <c r="I471" s="369"/>
      <c r="J471" s="379" t="s">
        <v>976</v>
      </c>
      <c r="K471" s="380">
        <v>19140</v>
      </c>
      <c r="L471" s="93"/>
      <c r="M471" s="93"/>
      <c r="N471" s="93"/>
      <c r="O471" s="93"/>
      <c r="P471" s="93"/>
      <c r="Q471" s="93"/>
      <c r="R471" s="93"/>
      <c r="S471" s="93"/>
      <c r="T471" s="252"/>
      <c r="U471" s="93"/>
      <c r="V471" s="379"/>
      <c r="W471" s="380"/>
      <c r="X471" s="93"/>
      <c r="Y471" s="93"/>
      <c r="Z471" s="93"/>
      <c r="AA471" s="93"/>
      <c r="AC471" s="337" t="s">
        <v>404</v>
      </c>
      <c r="AD471" s="337" t="s">
        <v>405</v>
      </c>
      <c r="AE471" s="337">
        <v>280</v>
      </c>
      <c r="AF471" s="338">
        <v>20</v>
      </c>
      <c r="AG471" s="93"/>
      <c r="AH471" s="337"/>
      <c r="AI471" s="337"/>
      <c r="AJ471" s="338"/>
      <c r="AK471" s="338"/>
    </row>
    <row r="472" spans="1:37" x14ac:dyDescent="0.3">
      <c r="A472" s="511"/>
      <c r="B472" s="93"/>
      <c r="C472" s="93"/>
      <c r="D472" s="93"/>
      <c r="E472" s="93"/>
      <c r="F472" s="286"/>
      <c r="G472" s="93"/>
      <c r="H472" s="93"/>
      <c r="I472" s="369"/>
      <c r="J472" s="370"/>
      <c r="K472" s="93"/>
      <c r="L472" s="93"/>
      <c r="M472" s="93"/>
      <c r="N472" s="93"/>
      <c r="O472" s="93"/>
      <c r="P472" s="93"/>
      <c r="Q472" s="93"/>
      <c r="R472" s="93"/>
      <c r="S472" s="93"/>
      <c r="T472" s="252"/>
      <c r="U472" s="93"/>
      <c r="V472" s="379"/>
      <c r="W472" s="380"/>
      <c r="X472" s="93"/>
      <c r="Y472" s="93"/>
      <c r="Z472" s="93"/>
      <c r="AA472" s="93"/>
      <c r="AC472" s="337" t="s">
        <v>406</v>
      </c>
      <c r="AD472" s="337" t="s">
        <v>407</v>
      </c>
      <c r="AE472" s="337">
        <v>40</v>
      </c>
      <c r="AF472" s="338">
        <v>8</v>
      </c>
      <c r="AG472" s="93"/>
      <c r="AH472" s="337"/>
      <c r="AI472" s="337"/>
      <c r="AJ472" s="338"/>
      <c r="AK472" s="338"/>
    </row>
    <row r="473" spans="1:37" x14ac:dyDescent="0.3">
      <c r="A473" s="511"/>
      <c r="B473" s="93"/>
      <c r="C473" s="93"/>
      <c r="D473" s="93"/>
      <c r="E473" s="93"/>
      <c r="F473" s="286"/>
      <c r="G473" s="93"/>
      <c r="H473" s="93"/>
      <c r="I473" s="369"/>
      <c r="J473" s="370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379"/>
      <c r="W473" s="380"/>
      <c r="X473" s="93"/>
      <c r="Y473" s="93"/>
      <c r="Z473" s="93"/>
      <c r="AA473" s="93"/>
      <c r="AC473" s="337" t="s">
        <v>309</v>
      </c>
      <c r="AD473" s="337" t="s">
        <v>368</v>
      </c>
      <c r="AE473" s="337">
        <v>592.20000000000005</v>
      </c>
      <c r="AF473" s="338">
        <v>7</v>
      </c>
      <c r="AG473" s="93"/>
      <c r="AH473" s="337"/>
      <c r="AI473" s="337"/>
      <c r="AJ473" s="338"/>
      <c r="AK473" s="338"/>
    </row>
    <row r="474" spans="1:37" x14ac:dyDescent="0.3">
      <c r="A474" s="511"/>
      <c r="B474" s="93"/>
      <c r="C474" s="93"/>
      <c r="D474" s="93"/>
      <c r="E474" s="93"/>
      <c r="F474" s="286"/>
      <c r="G474" s="93"/>
      <c r="H474" s="93"/>
      <c r="I474" s="369"/>
      <c r="J474" s="370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379"/>
      <c r="W474" s="380"/>
      <c r="X474" s="93"/>
      <c r="Y474" s="93"/>
      <c r="Z474" s="93"/>
      <c r="AA474" s="93"/>
      <c r="AC474" s="337" t="s">
        <v>927</v>
      </c>
      <c r="AD474" s="337" t="s">
        <v>928</v>
      </c>
      <c r="AE474" s="339">
        <v>486.5</v>
      </c>
      <c r="AF474" s="338">
        <v>139</v>
      </c>
      <c r="AH474" s="337"/>
      <c r="AI474" s="337"/>
      <c r="AJ474" s="337"/>
      <c r="AK474" s="338"/>
    </row>
    <row r="475" spans="1:37" x14ac:dyDescent="0.3">
      <c r="A475" s="511"/>
      <c r="B475" s="93"/>
      <c r="C475" s="93"/>
      <c r="D475" s="93"/>
      <c r="E475" s="93"/>
      <c r="F475" s="286"/>
      <c r="G475" s="93"/>
      <c r="H475" s="93"/>
      <c r="I475" s="369"/>
      <c r="J475" s="370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379"/>
      <c r="W475" s="380"/>
      <c r="X475" s="93"/>
      <c r="Y475" s="93"/>
      <c r="Z475" s="93"/>
      <c r="AA475" s="93"/>
      <c r="AC475" s="337" t="s">
        <v>929</v>
      </c>
      <c r="AD475" s="337" t="s">
        <v>928</v>
      </c>
      <c r="AE475" s="337">
        <v>380</v>
      </c>
      <c r="AF475" s="338">
        <v>76</v>
      </c>
      <c r="AH475" s="337"/>
      <c r="AI475" s="337"/>
      <c r="AJ475" s="337"/>
      <c r="AK475" s="338"/>
    </row>
    <row r="476" spans="1:37" x14ac:dyDescent="0.3">
      <c r="A476" s="511"/>
      <c r="B476" s="93"/>
      <c r="C476" s="93"/>
      <c r="D476" s="93"/>
      <c r="E476" s="93"/>
      <c r="F476" s="286"/>
      <c r="G476" s="93"/>
      <c r="H476" s="93"/>
      <c r="I476" s="369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379"/>
      <c r="W476" s="380"/>
      <c r="X476" s="93"/>
      <c r="Y476" s="93"/>
      <c r="Z476" s="93"/>
      <c r="AA476" s="93"/>
      <c r="AC476" s="337" t="s">
        <v>369</v>
      </c>
      <c r="AD476" s="337" t="s">
        <v>370</v>
      </c>
      <c r="AE476" s="337">
        <v>76.5</v>
      </c>
      <c r="AF476" s="338">
        <v>9</v>
      </c>
      <c r="AH476" s="337"/>
      <c r="AI476" s="337"/>
      <c r="AJ476" s="337"/>
      <c r="AK476" s="338"/>
    </row>
    <row r="477" spans="1:37" x14ac:dyDescent="0.3">
      <c r="A477" s="511"/>
      <c r="B477" s="93"/>
      <c r="C477" s="93"/>
      <c r="D477" s="93"/>
      <c r="E477" s="93"/>
      <c r="F477" s="286"/>
      <c r="G477" s="93"/>
      <c r="H477" s="93"/>
      <c r="I477" s="369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C477" s="337" t="s">
        <v>524</v>
      </c>
      <c r="AD477" s="337" t="s">
        <v>436</v>
      </c>
      <c r="AE477" s="337">
        <v>72</v>
      </c>
      <c r="AF477" s="338">
        <v>60</v>
      </c>
      <c r="AH477" s="337"/>
      <c r="AI477" s="337"/>
      <c r="AJ477" s="337"/>
      <c r="AK477" s="338"/>
    </row>
    <row r="478" spans="1:37" x14ac:dyDescent="0.3">
      <c r="A478" s="511"/>
      <c r="B478" s="93"/>
      <c r="C478" s="93"/>
      <c r="D478" s="93"/>
      <c r="E478" s="93"/>
      <c r="F478" s="286"/>
      <c r="G478" s="93"/>
      <c r="H478" s="93"/>
      <c r="I478" s="369"/>
      <c r="L478" s="93"/>
      <c r="M478" s="93"/>
      <c r="N478" s="93"/>
      <c r="O478" s="93"/>
      <c r="P478" s="379"/>
      <c r="Q478" s="380"/>
      <c r="R478" s="93"/>
      <c r="S478" s="380"/>
      <c r="T478" s="93"/>
      <c r="U478" s="93"/>
      <c r="V478" s="93"/>
      <c r="W478" s="93"/>
      <c r="X478" s="93"/>
      <c r="Y478" s="93"/>
      <c r="Z478" s="93"/>
      <c r="AA478" s="93"/>
      <c r="AC478" s="337" t="s">
        <v>437</v>
      </c>
      <c r="AD478" s="337" t="s">
        <v>438</v>
      </c>
      <c r="AE478" s="337">
        <v>2.6</v>
      </c>
      <c r="AF478" s="338">
        <v>2</v>
      </c>
      <c r="AH478" s="337"/>
      <c r="AI478" s="337"/>
      <c r="AJ478" s="337"/>
      <c r="AK478" s="338"/>
    </row>
    <row r="479" spans="1:37" x14ac:dyDescent="0.3">
      <c r="A479" s="511"/>
      <c r="B479" s="93"/>
      <c r="C479" s="93"/>
      <c r="D479" s="93"/>
      <c r="E479" s="93"/>
      <c r="F479" s="286"/>
      <c r="G479" s="93"/>
      <c r="H479" s="93"/>
      <c r="I479" s="369"/>
      <c r="L479" s="93"/>
      <c r="M479" s="93"/>
      <c r="N479" s="93"/>
      <c r="O479" s="93"/>
      <c r="P479" s="379"/>
      <c r="Q479" s="380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C479" s="337" t="s">
        <v>470</v>
      </c>
      <c r="AD479" s="337" t="s">
        <v>471</v>
      </c>
      <c r="AE479" s="339">
        <v>55</v>
      </c>
      <c r="AF479" s="338">
        <v>20</v>
      </c>
      <c r="AH479" s="337"/>
      <c r="AI479" s="337"/>
      <c r="AJ479" s="337"/>
      <c r="AK479" s="338"/>
    </row>
    <row r="480" spans="1:37" x14ac:dyDescent="0.3">
      <c r="A480" s="511"/>
      <c r="B480" s="93"/>
      <c r="C480" s="93"/>
      <c r="D480" s="93"/>
      <c r="E480" s="93"/>
      <c r="F480" s="286"/>
      <c r="G480" s="93"/>
      <c r="H480" s="93"/>
      <c r="I480" s="93"/>
      <c r="L480" s="93"/>
      <c r="N480" s="93"/>
      <c r="O480" s="93"/>
      <c r="P480" s="379"/>
      <c r="Q480" s="380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C480" s="337" t="s">
        <v>310</v>
      </c>
      <c r="AD480" s="337" t="s">
        <v>311</v>
      </c>
      <c r="AE480" s="337">
        <v>84</v>
      </c>
      <c r="AF480" s="338">
        <v>42</v>
      </c>
      <c r="AH480" s="337"/>
      <c r="AI480" s="337"/>
      <c r="AJ480" s="337"/>
      <c r="AK480" s="338"/>
    </row>
    <row r="481" spans="1:37" x14ac:dyDescent="0.3">
      <c r="A481" s="511"/>
      <c r="B481" s="93"/>
      <c r="C481" s="93"/>
      <c r="D481" s="93"/>
      <c r="E481" s="93"/>
      <c r="F481" s="286"/>
      <c r="G481" s="93"/>
      <c r="H481" s="93"/>
      <c r="I481" s="93"/>
      <c r="L481" s="93"/>
      <c r="N481" s="93"/>
      <c r="O481" s="93"/>
      <c r="P481" s="379"/>
      <c r="Q481" s="380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C481" s="337" t="s">
        <v>777</v>
      </c>
      <c r="AD481" s="337" t="s">
        <v>311</v>
      </c>
      <c r="AE481" s="337">
        <v>48</v>
      </c>
      <c r="AF481" s="338">
        <v>12</v>
      </c>
      <c r="AH481" s="337"/>
      <c r="AI481" s="337"/>
      <c r="AJ481" s="337"/>
      <c r="AK481" s="338"/>
    </row>
    <row r="482" spans="1:37" x14ac:dyDescent="0.3">
      <c r="A482" s="511"/>
      <c r="B482" s="93"/>
      <c r="C482" s="93"/>
      <c r="D482" s="93"/>
      <c r="E482" s="93"/>
      <c r="F482" s="286"/>
      <c r="G482" s="93"/>
      <c r="H482" s="93"/>
      <c r="I482" s="93"/>
      <c r="L482" s="93"/>
      <c r="O482" s="93"/>
      <c r="P482" s="379"/>
      <c r="Q482" s="380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C482" s="337" t="s">
        <v>778</v>
      </c>
      <c r="AD482" s="337" t="s">
        <v>311</v>
      </c>
      <c r="AE482" s="337">
        <v>228</v>
      </c>
      <c r="AF482" s="338">
        <v>12</v>
      </c>
      <c r="AH482" s="337"/>
      <c r="AI482" s="337"/>
      <c r="AJ482" s="337"/>
      <c r="AK482" s="338"/>
    </row>
    <row r="483" spans="1:37" x14ac:dyDescent="0.3">
      <c r="A483" s="511"/>
      <c r="B483" s="93"/>
      <c r="C483" s="93"/>
      <c r="D483" s="93"/>
      <c r="E483" s="93"/>
      <c r="F483" s="286"/>
      <c r="G483" s="93"/>
      <c r="H483" s="93"/>
      <c r="I483" s="93"/>
      <c r="L483" s="93"/>
      <c r="O483" s="93"/>
      <c r="P483" s="379"/>
      <c r="Q483" s="380"/>
      <c r="R483" s="93"/>
      <c r="S483" s="380"/>
      <c r="T483" s="93"/>
      <c r="U483" s="93"/>
      <c r="V483" s="380"/>
      <c r="W483" s="93"/>
      <c r="X483" s="93"/>
      <c r="Y483" s="93"/>
      <c r="Z483" s="93"/>
      <c r="AA483" s="93"/>
      <c r="AC483" s="337" t="s">
        <v>970</v>
      </c>
      <c r="AD483" s="337" t="s">
        <v>971</v>
      </c>
      <c r="AE483" s="337">
        <v>220</v>
      </c>
      <c r="AF483" s="338">
        <v>5</v>
      </c>
      <c r="AH483" s="337"/>
      <c r="AI483" s="337"/>
      <c r="AJ483" s="337"/>
      <c r="AK483" s="338"/>
    </row>
    <row r="484" spans="1:37" x14ac:dyDescent="0.3">
      <c r="A484" s="511"/>
      <c r="B484" s="93"/>
      <c r="C484" s="93"/>
      <c r="D484" s="93"/>
      <c r="E484" s="93"/>
      <c r="F484" s="286"/>
      <c r="G484" s="93"/>
      <c r="H484" s="93"/>
      <c r="I484" s="93"/>
      <c r="L484" s="93"/>
      <c r="N484" s="93"/>
      <c r="O484" s="93"/>
      <c r="P484" s="379"/>
      <c r="Q484" s="380"/>
      <c r="R484" s="93"/>
      <c r="S484" s="380"/>
      <c r="T484" s="93"/>
      <c r="U484" s="93"/>
      <c r="V484" s="380"/>
      <c r="W484" s="93"/>
      <c r="X484" s="93"/>
      <c r="Y484" s="93"/>
      <c r="Z484" s="93"/>
      <c r="AA484" s="93"/>
      <c r="AC484" s="337" t="s">
        <v>972</v>
      </c>
      <c r="AD484" s="337" t="s">
        <v>971</v>
      </c>
      <c r="AE484" s="337">
        <v>462</v>
      </c>
      <c r="AF484" s="338">
        <v>6</v>
      </c>
      <c r="AH484" s="337"/>
      <c r="AI484" s="337"/>
      <c r="AJ484" s="337"/>
      <c r="AK484" s="338"/>
    </row>
    <row r="485" spans="1:37" x14ac:dyDescent="0.3">
      <c r="A485" s="511"/>
      <c r="B485" s="93"/>
      <c r="C485" s="93"/>
      <c r="D485" s="93"/>
      <c r="E485" s="93"/>
      <c r="F485" s="286"/>
      <c r="G485" s="93"/>
      <c r="H485" s="93"/>
      <c r="I485" s="93"/>
      <c r="L485" s="93"/>
      <c r="P485" s="379"/>
      <c r="Q485" s="380"/>
      <c r="R485" s="93"/>
      <c r="S485" s="93"/>
      <c r="T485" s="93"/>
      <c r="U485" s="93"/>
      <c r="V485" s="380"/>
      <c r="W485" s="93"/>
      <c r="X485" s="93"/>
      <c r="Y485" s="93"/>
      <c r="Z485" s="93"/>
      <c r="AA485" s="93"/>
      <c r="AC485" s="337" t="s">
        <v>525</v>
      </c>
      <c r="AD485" s="337" t="s">
        <v>313</v>
      </c>
      <c r="AE485" s="337">
        <v>56</v>
      </c>
      <c r="AF485" s="338">
        <v>16</v>
      </c>
      <c r="AH485" s="337"/>
      <c r="AI485" s="337"/>
      <c r="AJ485" s="337"/>
      <c r="AK485" s="338"/>
    </row>
    <row r="486" spans="1:37" x14ac:dyDescent="0.3">
      <c r="A486" s="511"/>
      <c r="B486" s="93"/>
      <c r="C486" s="93"/>
      <c r="D486" s="93"/>
      <c r="E486" s="93"/>
      <c r="F486" s="286"/>
      <c r="G486" s="93"/>
      <c r="H486" s="93"/>
      <c r="I486" s="93"/>
      <c r="J486" s="93"/>
      <c r="K486" s="93"/>
      <c r="L486" s="93"/>
      <c r="P486" s="379"/>
      <c r="Q486" s="380"/>
      <c r="R486" s="93"/>
      <c r="S486" s="93"/>
      <c r="T486" s="93"/>
      <c r="U486" s="93"/>
      <c r="V486" s="380"/>
      <c r="W486" s="93"/>
      <c r="X486" s="93"/>
      <c r="Y486" s="93"/>
      <c r="Z486" s="93"/>
      <c r="AA486" s="93"/>
      <c r="AC486" s="337" t="s">
        <v>783</v>
      </c>
      <c r="AD486" s="337" t="s">
        <v>313</v>
      </c>
      <c r="AE486" s="337">
        <v>72</v>
      </c>
      <c r="AF486" s="338">
        <v>8</v>
      </c>
      <c r="AH486" s="337"/>
      <c r="AI486" s="337"/>
      <c r="AJ486" s="337"/>
      <c r="AK486" s="338"/>
    </row>
    <row r="487" spans="1:37" x14ac:dyDescent="0.3">
      <c r="A487" s="511"/>
      <c r="B487" s="93"/>
      <c r="C487" s="93"/>
      <c r="D487" s="93"/>
      <c r="E487" s="93"/>
      <c r="F487" s="286"/>
      <c r="G487" s="93"/>
      <c r="H487" s="93"/>
      <c r="I487" s="93"/>
      <c r="J487" s="93"/>
      <c r="K487" s="93"/>
      <c r="L487" s="93"/>
      <c r="P487" s="379"/>
      <c r="Q487" s="380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C487" s="337" t="s">
        <v>314</v>
      </c>
      <c r="AD487" s="337" t="s">
        <v>313</v>
      </c>
      <c r="AE487" s="339">
        <v>40</v>
      </c>
      <c r="AF487" s="338">
        <v>20</v>
      </c>
      <c r="AH487" s="337"/>
      <c r="AI487" s="337"/>
      <c r="AJ487" s="337"/>
      <c r="AK487" s="338"/>
    </row>
    <row r="488" spans="1:37" x14ac:dyDescent="0.3">
      <c r="A488" s="511"/>
      <c r="B488" s="93"/>
      <c r="C488" s="93"/>
      <c r="D488" s="93"/>
      <c r="E488" s="93"/>
      <c r="F488" s="286"/>
      <c r="G488" s="93"/>
      <c r="H488" s="93"/>
      <c r="I488" s="93"/>
      <c r="J488" s="93"/>
      <c r="K488" s="93"/>
      <c r="L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</row>
    <row r="489" spans="1:37" x14ac:dyDescent="0.3">
      <c r="A489" s="511"/>
      <c r="B489" s="93"/>
      <c r="C489" s="93"/>
      <c r="D489" s="93"/>
      <c r="E489" s="93"/>
      <c r="F489" s="286"/>
      <c r="G489" s="93"/>
      <c r="H489" s="93"/>
      <c r="I489" s="93"/>
      <c r="J489" s="93"/>
      <c r="K489" s="93"/>
      <c r="L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</row>
    <row r="490" spans="1:37" x14ac:dyDescent="0.3">
      <c r="A490" s="511"/>
      <c r="B490" s="93"/>
      <c r="C490" s="93"/>
      <c r="D490" s="93"/>
      <c r="E490" s="93"/>
      <c r="F490" s="286"/>
      <c r="G490" s="93"/>
      <c r="H490" s="93"/>
      <c r="I490" s="93"/>
      <c r="J490" s="93"/>
      <c r="K490" s="93"/>
      <c r="L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</row>
    <row r="491" spans="1:37" ht="18" thickBot="1" x14ac:dyDescent="0.4">
      <c r="A491" s="511"/>
      <c r="B491" s="93"/>
      <c r="C491" s="93"/>
      <c r="D491" s="93"/>
      <c r="E491" s="93"/>
      <c r="F491" s="286"/>
      <c r="G491" s="93"/>
      <c r="H491" s="93"/>
      <c r="I491" s="93"/>
      <c r="J491" s="93"/>
      <c r="K491" s="93"/>
      <c r="L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J491" s="283">
        <f>SUM(AJ395:AJ487,AE395:AE488)</f>
        <v>35794.719999999994</v>
      </c>
    </row>
    <row r="492" spans="1:37" s="96" customFormat="1" ht="15" thickBot="1" x14ac:dyDescent="0.35">
      <c r="A492" s="512"/>
      <c r="F492" s="295"/>
      <c r="AK492" s="362"/>
    </row>
    <row r="493" spans="1:37" ht="24" thickBot="1" x14ac:dyDescent="0.35">
      <c r="A493" s="510" t="s">
        <v>1012</v>
      </c>
      <c r="B493" s="513" t="s">
        <v>156</v>
      </c>
      <c r="C493" s="514"/>
      <c r="D493" s="514"/>
      <c r="E493" s="515"/>
      <c r="F493" s="285"/>
      <c r="G493" s="530" t="s">
        <v>157</v>
      </c>
      <c r="H493" s="528"/>
      <c r="I493" s="528"/>
      <c r="J493" s="529"/>
      <c r="K493" s="246"/>
      <c r="L493" s="519" t="s">
        <v>158</v>
      </c>
      <c r="M493" s="520"/>
      <c r="N493" s="520"/>
      <c r="O493" s="521"/>
      <c r="P493" s="247"/>
      <c r="Q493" s="519" t="s">
        <v>159</v>
      </c>
      <c r="R493" s="520"/>
      <c r="S493" s="520"/>
      <c r="T493" s="521"/>
      <c r="U493" s="246"/>
      <c r="Z493" s="246"/>
      <c r="AA493" s="246"/>
      <c r="AK493" s="90"/>
    </row>
    <row r="494" spans="1:37" x14ac:dyDescent="0.3">
      <c r="A494" s="511"/>
      <c r="B494" s="381" t="s">
        <v>417</v>
      </c>
      <c r="C494" s="335" t="s">
        <v>456</v>
      </c>
      <c r="D494" s="336">
        <v>720</v>
      </c>
      <c r="E494" s="335">
        <v>1</v>
      </c>
      <c r="F494" s="286"/>
      <c r="G494" s="337" t="s">
        <v>981</v>
      </c>
      <c r="H494" s="337" t="s">
        <v>731</v>
      </c>
      <c r="I494" s="338">
        <v>737</v>
      </c>
      <c r="J494" s="337">
        <v>11</v>
      </c>
      <c r="K494" s="93"/>
      <c r="L494" s="337" t="s">
        <v>808</v>
      </c>
      <c r="M494" s="337" t="s">
        <v>165</v>
      </c>
      <c r="N494" s="339">
        <v>8109</v>
      </c>
      <c r="O494" s="337">
        <v>13</v>
      </c>
      <c r="P494" s="93"/>
      <c r="Q494" s="337" t="s">
        <v>1020</v>
      </c>
      <c r="R494" s="337" t="s">
        <v>159</v>
      </c>
      <c r="S494" s="339">
        <v>2994</v>
      </c>
      <c r="T494" s="337">
        <v>2</v>
      </c>
      <c r="U494" s="93"/>
      <c r="Z494" s="93"/>
      <c r="AA494" s="93"/>
      <c r="AK494" s="90"/>
    </row>
    <row r="495" spans="1:37" x14ac:dyDescent="0.3">
      <c r="A495" s="511"/>
      <c r="B495" s="91" t="s">
        <v>454</v>
      </c>
      <c r="C495" s="337" t="s">
        <v>455</v>
      </c>
      <c r="D495" s="338">
        <v>49560</v>
      </c>
      <c r="E495" s="337">
        <v>15</v>
      </c>
      <c r="F495" s="286"/>
      <c r="G495" s="337" t="s">
        <v>629</v>
      </c>
      <c r="H495" s="337" t="s">
        <v>630</v>
      </c>
      <c r="I495" s="338">
        <v>4388</v>
      </c>
      <c r="J495" s="337">
        <v>2</v>
      </c>
      <c r="K495" s="93"/>
      <c r="L495" s="337" t="s">
        <v>483</v>
      </c>
      <c r="M495" s="337" t="s">
        <v>165</v>
      </c>
      <c r="N495" s="339">
        <v>7522</v>
      </c>
      <c r="O495" s="337">
        <v>12</v>
      </c>
      <c r="P495" s="93"/>
      <c r="Q495" s="337" t="s">
        <v>319</v>
      </c>
      <c r="R495" s="337" t="s">
        <v>320</v>
      </c>
      <c r="S495" s="339">
        <v>25120</v>
      </c>
      <c r="T495" s="337">
        <v>20</v>
      </c>
      <c r="U495" s="93"/>
      <c r="Z495" s="93"/>
      <c r="AA495" s="93"/>
      <c r="AK495" s="90"/>
    </row>
    <row r="496" spans="1:37" x14ac:dyDescent="0.3">
      <c r="A496" s="511"/>
      <c r="B496" s="91" t="s">
        <v>979</v>
      </c>
      <c r="C496" s="337" t="s">
        <v>162</v>
      </c>
      <c r="D496" s="338">
        <v>3500</v>
      </c>
      <c r="E496" s="337">
        <v>1</v>
      </c>
      <c r="F496" s="286"/>
      <c r="G496" s="337" t="s">
        <v>180</v>
      </c>
      <c r="H496" s="337" t="s">
        <v>181</v>
      </c>
      <c r="I496" s="338">
        <v>2307</v>
      </c>
      <c r="J496" s="337">
        <v>3</v>
      </c>
      <c r="K496" s="93"/>
      <c r="L496" s="337" t="s">
        <v>164</v>
      </c>
      <c r="M496" s="337" t="s">
        <v>165</v>
      </c>
      <c r="N496" s="339">
        <v>6776</v>
      </c>
      <c r="O496" s="337">
        <v>11</v>
      </c>
      <c r="P496" s="93"/>
      <c r="Q496" s="337" t="s">
        <v>166</v>
      </c>
      <c r="R496" s="337" t="s">
        <v>167</v>
      </c>
      <c r="S496" s="339">
        <v>17964</v>
      </c>
      <c r="T496" s="337">
        <v>12</v>
      </c>
      <c r="U496" s="93"/>
      <c r="Z496" s="93"/>
      <c r="AA496" s="93"/>
      <c r="AK496" s="90"/>
    </row>
    <row r="497" spans="1:37" x14ac:dyDescent="0.3">
      <c r="A497" s="511"/>
      <c r="B497" s="91" t="s">
        <v>179</v>
      </c>
      <c r="C497" s="337" t="s">
        <v>162</v>
      </c>
      <c r="D497" s="338">
        <v>48236</v>
      </c>
      <c r="E497" s="337">
        <v>31</v>
      </c>
      <c r="F497" s="286"/>
      <c r="G497" s="337" t="s">
        <v>912</v>
      </c>
      <c r="H497" s="337" t="s">
        <v>181</v>
      </c>
      <c r="I497" s="338">
        <v>2704</v>
      </c>
      <c r="J497" s="337">
        <v>4</v>
      </c>
      <c r="K497" s="93"/>
      <c r="L497" s="337" t="s">
        <v>322</v>
      </c>
      <c r="M497" s="337" t="s">
        <v>165</v>
      </c>
      <c r="N497" s="339">
        <v>4970</v>
      </c>
      <c r="O497" s="337">
        <v>6</v>
      </c>
      <c r="P497" s="93"/>
      <c r="Q497" s="337" t="s">
        <v>484</v>
      </c>
      <c r="R497" s="337" t="s">
        <v>174</v>
      </c>
      <c r="S497" s="339">
        <v>2060</v>
      </c>
      <c r="T497" s="337">
        <v>2</v>
      </c>
      <c r="U497" s="93"/>
      <c r="Z497" s="93"/>
      <c r="AA497" s="93"/>
      <c r="AK497" s="90"/>
    </row>
    <row r="498" spans="1:37" x14ac:dyDescent="0.3">
      <c r="A498" s="511"/>
      <c r="B498" s="91" t="s">
        <v>203</v>
      </c>
      <c r="C498" s="337" t="s">
        <v>806</v>
      </c>
      <c r="D498" s="338">
        <v>42676</v>
      </c>
      <c r="E498" s="337">
        <v>20</v>
      </c>
      <c r="F498" s="286"/>
      <c r="G498" s="337" t="s">
        <v>331</v>
      </c>
      <c r="H498" s="337" t="s">
        <v>181</v>
      </c>
      <c r="I498" s="338">
        <v>1980</v>
      </c>
      <c r="J498" s="337">
        <v>3</v>
      </c>
      <c r="K498" s="93"/>
      <c r="L498" s="337" t="s">
        <v>963</v>
      </c>
      <c r="M498" s="337" t="s">
        <v>165</v>
      </c>
      <c r="N498" s="339">
        <v>2091</v>
      </c>
      <c r="O498" s="337">
        <v>1</v>
      </c>
      <c r="P498" s="93"/>
      <c r="Q498" s="337" t="s">
        <v>173</v>
      </c>
      <c r="R498" s="337" t="s">
        <v>174</v>
      </c>
      <c r="S498" s="339">
        <v>6786</v>
      </c>
      <c r="T498" s="337">
        <v>6</v>
      </c>
      <c r="U498" s="93"/>
      <c r="Z498" s="93"/>
      <c r="AA498" s="93"/>
      <c r="AK498" s="90"/>
    </row>
    <row r="499" spans="1:37" x14ac:dyDescent="0.3">
      <c r="A499" s="511"/>
      <c r="B499" s="91" t="s">
        <v>807</v>
      </c>
      <c r="C499" s="337" t="s">
        <v>170</v>
      </c>
      <c r="D499" s="339">
        <v>1411</v>
      </c>
      <c r="E499" s="337">
        <v>1</v>
      </c>
      <c r="F499" s="286"/>
      <c r="G499" s="337" t="s">
        <v>564</v>
      </c>
      <c r="H499" s="337" t="s">
        <v>181</v>
      </c>
      <c r="I499" s="338">
        <v>46340</v>
      </c>
      <c r="J499" s="337">
        <v>20</v>
      </c>
      <c r="K499" s="93"/>
      <c r="L499" s="337" t="s">
        <v>635</v>
      </c>
      <c r="M499" s="337" t="s">
        <v>165</v>
      </c>
      <c r="N499" s="339">
        <v>4676</v>
      </c>
      <c r="O499" s="337">
        <v>4</v>
      </c>
      <c r="P499" s="93"/>
      <c r="Q499" s="337" t="s">
        <v>1021</v>
      </c>
      <c r="R499" s="337" t="s">
        <v>174</v>
      </c>
      <c r="S499" s="339">
        <v>8259.84</v>
      </c>
      <c r="T499" s="337">
        <v>9</v>
      </c>
      <c r="U499" s="93"/>
      <c r="Z499" s="93"/>
      <c r="AA499" s="93"/>
      <c r="AK499" s="90"/>
    </row>
    <row r="500" spans="1:37" x14ac:dyDescent="0.3">
      <c r="A500" s="511"/>
      <c r="B500" s="91" t="s">
        <v>334</v>
      </c>
      <c r="C500" s="337" t="s">
        <v>170</v>
      </c>
      <c r="D500" s="339">
        <v>1589</v>
      </c>
      <c r="E500" s="337">
        <v>1</v>
      </c>
      <c r="F500" s="311"/>
      <c r="G500" s="337" t="s">
        <v>325</v>
      </c>
      <c r="H500" s="337" t="s">
        <v>181</v>
      </c>
      <c r="I500" s="338">
        <v>11480</v>
      </c>
      <c r="J500" s="337">
        <v>7</v>
      </c>
      <c r="K500" s="93"/>
      <c r="L500" s="337" t="s">
        <v>1019</v>
      </c>
      <c r="M500" s="337" t="s">
        <v>165</v>
      </c>
      <c r="N500" s="339">
        <v>1622</v>
      </c>
      <c r="O500" s="337">
        <v>2</v>
      </c>
      <c r="P500" s="93"/>
      <c r="Q500" s="337" t="s">
        <v>186</v>
      </c>
      <c r="R500" s="337" t="s">
        <v>174</v>
      </c>
      <c r="S500" s="339">
        <v>52248</v>
      </c>
      <c r="T500" s="337">
        <v>42</v>
      </c>
      <c r="U500" s="93"/>
      <c r="Z500" s="93"/>
      <c r="AA500" s="93"/>
      <c r="AK500" s="90"/>
    </row>
    <row r="501" spans="1:37" x14ac:dyDescent="0.3">
      <c r="A501" s="511"/>
      <c r="B501" s="91" t="s">
        <v>1013</v>
      </c>
      <c r="C501" s="337" t="s">
        <v>170</v>
      </c>
      <c r="D501" s="339">
        <v>1884</v>
      </c>
      <c r="E501" s="337">
        <v>1</v>
      </c>
      <c r="F501" s="311"/>
      <c r="G501" s="337" t="s">
        <v>177</v>
      </c>
      <c r="H501" s="337" t="s">
        <v>181</v>
      </c>
      <c r="I501" s="338">
        <v>23592</v>
      </c>
      <c r="J501" s="337">
        <v>12</v>
      </c>
      <c r="K501" s="93"/>
      <c r="L501" s="337" t="s">
        <v>171</v>
      </c>
      <c r="M501" s="337" t="s">
        <v>172</v>
      </c>
      <c r="N501" s="339">
        <v>24821</v>
      </c>
      <c r="O501" s="337">
        <v>38</v>
      </c>
      <c r="P501" s="93"/>
      <c r="Q501" s="337" t="s">
        <v>637</v>
      </c>
      <c r="R501" s="337" t="s">
        <v>174</v>
      </c>
      <c r="S501" s="339">
        <v>18738</v>
      </c>
      <c r="T501" s="337">
        <v>6</v>
      </c>
      <c r="U501" s="93"/>
      <c r="Z501" s="93"/>
      <c r="AA501" s="93"/>
      <c r="AK501" s="90"/>
    </row>
    <row r="502" spans="1:37" x14ac:dyDescent="0.3">
      <c r="A502" s="511"/>
      <c r="B502" s="91" t="s">
        <v>200</v>
      </c>
      <c r="C502" s="337" t="s">
        <v>170</v>
      </c>
      <c r="D502" s="339">
        <v>13321</v>
      </c>
      <c r="E502" s="337">
        <v>11</v>
      </c>
      <c r="F502" s="286"/>
      <c r="G502" s="337" t="s">
        <v>1018</v>
      </c>
      <c r="H502" s="337" t="s">
        <v>181</v>
      </c>
      <c r="I502" s="338">
        <v>1599</v>
      </c>
      <c r="J502" s="337">
        <v>1</v>
      </c>
      <c r="K502" s="93"/>
      <c r="L502" s="337" t="s">
        <v>192</v>
      </c>
      <c r="M502" s="337" t="s">
        <v>551</v>
      </c>
      <c r="N502" s="339">
        <v>14876</v>
      </c>
      <c r="O502" s="337">
        <v>15</v>
      </c>
      <c r="P502" s="93"/>
      <c r="Q502" s="337" t="s">
        <v>535</v>
      </c>
      <c r="R502" s="337" t="s">
        <v>174</v>
      </c>
      <c r="S502" s="339">
        <v>7044</v>
      </c>
      <c r="T502" s="337">
        <v>6</v>
      </c>
      <c r="U502" s="93"/>
      <c r="Z502" s="93"/>
      <c r="AA502" s="93"/>
      <c r="AK502" s="90"/>
    </row>
    <row r="503" spans="1:37" x14ac:dyDescent="0.3">
      <c r="A503" s="511"/>
      <c r="B503" s="91" t="s">
        <v>169</v>
      </c>
      <c r="C503" s="337" t="s">
        <v>170</v>
      </c>
      <c r="D503" s="339">
        <v>7446.4</v>
      </c>
      <c r="E503" s="337">
        <v>4</v>
      </c>
      <c r="F503" s="286"/>
      <c r="G503" s="337" t="s">
        <v>377</v>
      </c>
      <c r="H503" s="337" t="s">
        <v>181</v>
      </c>
      <c r="I503" s="338">
        <v>7995</v>
      </c>
      <c r="J503" s="337">
        <v>5</v>
      </c>
      <c r="K503" s="93"/>
      <c r="L503" s="337"/>
      <c r="M503" s="337"/>
      <c r="N503" s="339"/>
      <c r="O503" s="337"/>
      <c r="P503" s="93"/>
      <c r="Q503" s="337" t="s">
        <v>988</v>
      </c>
      <c r="R503" s="337" t="s">
        <v>174</v>
      </c>
      <c r="S503" s="339">
        <v>1655</v>
      </c>
      <c r="T503" s="337">
        <v>1</v>
      </c>
      <c r="U503" s="93"/>
      <c r="Z503" s="93"/>
      <c r="AA503" s="93"/>
      <c r="AK503" s="90"/>
    </row>
    <row r="504" spans="1:37" x14ac:dyDescent="0.3">
      <c r="A504" s="511"/>
      <c r="B504" s="91" t="s">
        <v>627</v>
      </c>
      <c r="C504" s="337" t="s">
        <v>170</v>
      </c>
      <c r="D504" s="339">
        <v>3633</v>
      </c>
      <c r="E504" s="337">
        <v>3</v>
      </c>
      <c r="F504" s="286"/>
      <c r="G504" s="337" t="s">
        <v>163</v>
      </c>
      <c r="H504" s="337" t="s">
        <v>181</v>
      </c>
      <c r="I504" s="338">
        <v>60762</v>
      </c>
      <c r="J504" s="337">
        <v>38</v>
      </c>
      <c r="K504" s="93"/>
      <c r="L504" s="337"/>
      <c r="M504" s="337"/>
      <c r="N504" s="339"/>
      <c r="O504" s="337"/>
      <c r="P504" s="93"/>
      <c r="Q504" s="337" t="s">
        <v>1022</v>
      </c>
      <c r="R504" s="337" t="s">
        <v>174</v>
      </c>
      <c r="S504" s="339">
        <v>1244</v>
      </c>
      <c r="T504" s="337">
        <v>1</v>
      </c>
      <c r="U504" s="93"/>
      <c r="Z504" s="93"/>
      <c r="AA504" s="93"/>
      <c r="AK504" s="90"/>
    </row>
    <row r="505" spans="1:37" x14ac:dyDescent="0.3">
      <c r="A505" s="511"/>
      <c r="B505" s="91" t="s">
        <v>191</v>
      </c>
      <c r="C505" s="337" t="s">
        <v>170</v>
      </c>
      <c r="D505" s="339">
        <v>18606</v>
      </c>
      <c r="E505" s="337">
        <v>3</v>
      </c>
      <c r="F505" s="286"/>
      <c r="G505" s="337" t="s">
        <v>633</v>
      </c>
      <c r="H505" s="337" t="s">
        <v>181</v>
      </c>
      <c r="I505" s="338">
        <v>7563</v>
      </c>
      <c r="J505" s="337">
        <v>3</v>
      </c>
      <c r="K505" s="93"/>
      <c r="L505" s="337"/>
      <c r="M505" s="337"/>
      <c r="N505" s="339"/>
      <c r="O505" s="337"/>
      <c r="P505" s="93"/>
      <c r="Q505" s="337" t="s">
        <v>812</v>
      </c>
      <c r="R505" s="337" t="s">
        <v>174</v>
      </c>
      <c r="S505" s="339">
        <v>16320</v>
      </c>
      <c r="T505" s="337">
        <v>4</v>
      </c>
      <c r="U505" s="93"/>
      <c r="Z505" s="93"/>
      <c r="AA505" s="93"/>
      <c r="AK505" s="90"/>
    </row>
    <row r="506" spans="1:37" x14ac:dyDescent="0.3">
      <c r="A506" s="511"/>
      <c r="B506" s="91" t="s">
        <v>482</v>
      </c>
      <c r="C506" s="337" t="s">
        <v>170</v>
      </c>
      <c r="D506" s="339">
        <v>57050</v>
      </c>
      <c r="E506" s="337">
        <v>14</v>
      </c>
      <c r="F506" s="286"/>
      <c r="G506" s="337" t="s">
        <v>195</v>
      </c>
      <c r="H506" s="337" t="s">
        <v>181</v>
      </c>
      <c r="I506" s="338">
        <v>27731</v>
      </c>
      <c r="J506" s="337">
        <v>11</v>
      </c>
      <c r="K506" s="93"/>
      <c r="L506" s="337"/>
      <c r="M506" s="337"/>
      <c r="N506" s="339"/>
      <c r="O506" s="337"/>
      <c r="P506" s="93"/>
      <c r="Q506" s="337" t="s">
        <v>485</v>
      </c>
      <c r="R506" s="337" t="s">
        <v>420</v>
      </c>
      <c r="S506" s="339">
        <v>4120</v>
      </c>
      <c r="T506" s="337">
        <v>4</v>
      </c>
      <c r="U506" s="93"/>
      <c r="Z506" s="93"/>
      <c r="AA506" s="93"/>
      <c r="AK506" s="90"/>
    </row>
    <row r="507" spans="1:37" x14ac:dyDescent="0.3">
      <c r="A507" s="511"/>
      <c r="B507" s="91" t="s">
        <v>550</v>
      </c>
      <c r="C507" s="337" t="s">
        <v>170</v>
      </c>
      <c r="D507" s="339">
        <v>49629</v>
      </c>
      <c r="E507" s="337">
        <v>7</v>
      </c>
      <c r="F507" s="286"/>
      <c r="G507" s="337" t="s">
        <v>384</v>
      </c>
      <c r="H507" s="337" t="s">
        <v>181</v>
      </c>
      <c r="I507" s="338">
        <v>7970</v>
      </c>
      <c r="J507" s="337">
        <v>2</v>
      </c>
      <c r="K507" s="93"/>
      <c r="L507" s="337"/>
      <c r="M507" s="337"/>
      <c r="N507" s="339"/>
      <c r="O507" s="337"/>
      <c r="P507" s="93"/>
      <c r="Q507" s="337" t="s">
        <v>814</v>
      </c>
      <c r="R507" s="337" t="s">
        <v>423</v>
      </c>
      <c r="S507" s="339">
        <v>3720</v>
      </c>
      <c r="T507" s="337">
        <v>1</v>
      </c>
      <c r="U507" s="93"/>
      <c r="Z507" s="93"/>
      <c r="AA507" s="93"/>
      <c r="AK507" s="90"/>
    </row>
    <row r="508" spans="1:37" x14ac:dyDescent="0.3">
      <c r="A508" s="511"/>
      <c r="B508" s="91" t="s">
        <v>445</v>
      </c>
      <c r="C508" s="337" t="s">
        <v>170</v>
      </c>
      <c r="D508" s="339">
        <v>17950</v>
      </c>
      <c r="E508" s="337">
        <v>10</v>
      </c>
      <c r="F508" s="286"/>
      <c r="G508" s="337" t="s">
        <v>982</v>
      </c>
      <c r="H508" s="337" t="s">
        <v>181</v>
      </c>
      <c r="I508" s="339">
        <v>11955</v>
      </c>
      <c r="J508" s="337">
        <v>3</v>
      </c>
      <c r="K508" s="93"/>
      <c r="L508" s="337" t="s">
        <v>201</v>
      </c>
      <c r="M508" s="337" t="s">
        <v>202</v>
      </c>
      <c r="N508" s="339">
        <v>1357.8</v>
      </c>
      <c r="O508" s="337">
        <v>2</v>
      </c>
      <c r="P508" s="93"/>
      <c r="Q508" s="337" t="s">
        <v>918</v>
      </c>
      <c r="R508" s="337" t="s">
        <v>570</v>
      </c>
      <c r="S508" s="339">
        <v>3420</v>
      </c>
      <c r="T508" s="337">
        <v>1</v>
      </c>
      <c r="U508" s="93"/>
      <c r="Z508" s="93"/>
      <c r="AA508" s="93"/>
      <c r="AK508" s="90"/>
    </row>
    <row r="509" spans="1:37" x14ac:dyDescent="0.3">
      <c r="A509" s="511"/>
      <c r="B509" s="91" t="s">
        <v>920</v>
      </c>
      <c r="C509" s="337" t="s">
        <v>170</v>
      </c>
      <c r="D509" s="339">
        <v>6284</v>
      </c>
      <c r="E509" s="337">
        <v>1</v>
      </c>
      <c r="F509" s="286"/>
      <c r="G509" s="337" t="s">
        <v>921</v>
      </c>
      <c r="H509" s="337" t="s">
        <v>181</v>
      </c>
      <c r="I509" s="339">
        <v>5042</v>
      </c>
      <c r="J509" s="337">
        <v>2</v>
      </c>
      <c r="K509" s="93"/>
      <c r="L509" s="337"/>
      <c r="M509" s="337"/>
      <c r="N509" s="339"/>
      <c r="O509" s="337"/>
      <c r="P509" s="93"/>
      <c r="Q509" s="337" t="s">
        <v>642</v>
      </c>
      <c r="R509" s="337" t="s">
        <v>643</v>
      </c>
      <c r="S509" s="339">
        <v>9392</v>
      </c>
      <c r="T509" s="337">
        <v>8</v>
      </c>
      <c r="U509" s="93"/>
      <c r="Z509" s="93"/>
      <c r="AA509" s="93"/>
      <c r="AK509" s="90"/>
    </row>
    <row r="510" spans="1:37" x14ac:dyDescent="0.3">
      <c r="A510" s="511"/>
      <c r="F510" s="286"/>
      <c r="G510" s="93"/>
      <c r="H510" s="93"/>
      <c r="I510" s="93"/>
      <c r="J510" s="93"/>
      <c r="K510" s="93"/>
      <c r="L510" s="337"/>
      <c r="M510" s="337"/>
      <c r="N510" s="338"/>
      <c r="O510" s="337"/>
      <c r="P510" s="93"/>
      <c r="Q510" s="337" t="s">
        <v>206</v>
      </c>
      <c r="R510" s="337" t="s">
        <v>207</v>
      </c>
      <c r="S510" s="339">
        <v>4200</v>
      </c>
      <c r="T510" s="337">
        <v>1</v>
      </c>
      <c r="U510" s="93"/>
      <c r="Z510" s="93"/>
      <c r="AA510" s="93"/>
      <c r="AK510" s="90"/>
    </row>
    <row r="511" spans="1:37" x14ac:dyDescent="0.3">
      <c r="A511" s="511"/>
      <c r="B511" s="93"/>
      <c r="C511" s="93"/>
      <c r="F511" s="286"/>
      <c r="G511" s="93"/>
      <c r="H511" s="93"/>
      <c r="I511" s="93"/>
      <c r="J511" s="93"/>
      <c r="K511" s="93"/>
      <c r="L511" s="337"/>
      <c r="M511" s="337"/>
      <c r="N511" s="338"/>
      <c r="O511" s="337"/>
      <c r="P511" s="93"/>
      <c r="Q511" s="337"/>
      <c r="R511" s="337"/>
      <c r="S511" s="339"/>
      <c r="T511" s="337"/>
      <c r="U511" s="93"/>
      <c r="Z511" s="93"/>
      <c r="AA511" s="93"/>
      <c r="AK511" s="90"/>
    </row>
    <row r="512" spans="1:37" x14ac:dyDescent="0.3">
      <c r="A512" s="511"/>
      <c r="B512" s="93"/>
      <c r="C512" s="93"/>
      <c r="D512" s="208"/>
      <c r="E512" s="93"/>
      <c r="F512" s="286"/>
      <c r="G512" s="93"/>
      <c r="H512" s="93"/>
      <c r="I512" s="93"/>
      <c r="J512" s="93"/>
      <c r="K512" s="93"/>
      <c r="L512" s="337"/>
      <c r="M512" s="337"/>
      <c r="N512" s="338"/>
      <c r="O512" s="337"/>
      <c r="P512" s="93"/>
      <c r="Q512" s="337"/>
      <c r="R512" s="337"/>
      <c r="S512" s="339"/>
      <c r="T512" s="337"/>
      <c r="U512" s="93"/>
      <c r="Z512" s="93"/>
      <c r="AA512" s="93"/>
      <c r="AK512" s="90"/>
    </row>
    <row r="513" spans="1:37" x14ac:dyDescent="0.3">
      <c r="A513" s="511"/>
      <c r="B513" s="93"/>
      <c r="C513" s="93"/>
      <c r="D513" s="208"/>
      <c r="E513" s="93"/>
      <c r="F513" s="286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337"/>
      <c r="R513" s="337"/>
      <c r="S513" s="339"/>
      <c r="T513" s="337"/>
      <c r="U513" s="93"/>
      <c r="Z513" s="93"/>
      <c r="AA513" s="93"/>
      <c r="AK513" s="90"/>
    </row>
    <row r="514" spans="1:37" x14ac:dyDescent="0.3">
      <c r="A514" s="511"/>
      <c r="B514" s="91"/>
      <c r="C514" s="337"/>
      <c r="D514" s="337"/>
      <c r="E514" s="337"/>
      <c r="F514" s="286"/>
      <c r="G514" s="93"/>
      <c r="H514" s="93"/>
      <c r="I514" s="93"/>
      <c r="J514" s="93"/>
      <c r="K514" s="93"/>
      <c r="P514" s="93"/>
      <c r="Q514" s="383"/>
      <c r="R514" s="383"/>
      <c r="S514" s="384"/>
      <c r="T514" s="383"/>
      <c r="U514" s="93"/>
      <c r="Z514" s="93"/>
      <c r="AA514" s="93"/>
      <c r="AK514" s="90"/>
    </row>
    <row r="515" spans="1:37" x14ac:dyDescent="0.3">
      <c r="A515" s="511"/>
      <c r="B515" s="91"/>
      <c r="C515" s="337"/>
      <c r="D515" s="337"/>
      <c r="E515" s="337"/>
      <c r="F515" s="286"/>
      <c r="G515" s="93"/>
      <c r="H515" s="93"/>
      <c r="I515" s="93"/>
      <c r="J515" s="93"/>
      <c r="K515" s="93"/>
      <c r="P515" s="93"/>
      <c r="Q515" s="337"/>
      <c r="R515" s="337"/>
      <c r="S515" s="338"/>
      <c r="T515" s="337"/>
      <c r="U515" s="93"/>
      <c r="Z515" s="93"/>
      <c r="AA515" s="93"/>
      <c r="AK515" s="90"/>
    </row>
    <row r="516" spans="1:37" x14ac:dyDescent="0.3">
      <c r="A516" s="511"/>
      <c r="B516" s="91"/>
      <c r="C516" s="337"/>
      <c r="D516" s="339"/>
      <c r="E516" s="337"/>
      <c r="F516" s="286"/>
      <c r="G516" s="93"/>
      <c r="H516" s="93"/>
      <c r="I516" s="93"/>
      <c r="J516" s="93"/>
      <c r="K516" s="93"/>
      <c r="P516" s="93"/>
      <c r="Q516" s="337"/>
      <c r="R516" s="337"/>
      <c r="S516" s="338"/>
      <c r="T516" s="337"/>
      <c r="U516" s="93"/>
      <c r="Z516" s="93"/>
      <c r="AA516" s="93"/>
      <c r="AK516" s="90"/>
    </row>
    <row r="517" spans="1:37" x14ac:dyDescent="0.3">
      <c r="A517" s="511"/>
      <c r="B517" s="93"/>
      <c r="C517" s="93"/>
      <c r="D517" s="208"/>
      <c r="E517" s="93"/>
      <c r="F517" s="286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337"/>
      <c r="R517" s="337"/>
      <c r="S517" s="338"/>
      <c r="T517" s="337"/>
      <c r="U517" s="93"/>
      <c r="Z517" s="93"/>
      <c r="AA517" s="93"/>
      <c r="AK517" s="90"/>
    </row>
    <row r="518" spans="1:37" x14ac:dyDescent="0.3">
      <c r="A518" s="511"/>
      <c r="B518" s="93"/>
      <c r="C518" s="93"/>
      <c r="D518" s="93"/>
      <c r="E518" s="93"/>
      <c r="F518" s="286"/>
      <c r="G518" s="93"/>
      <c r="H518" s="93"/>
      <c r="I518" s="93"/>
      <c r="J518" s="93"/>
      <c r="K518" s="93"/>
      <c r="L518" s="93"/>
      <c r="M518" s="333"/>
      <c r="N518" s="334"/>
      <c r="O518" s="93"/>
      <c r="P518" s="93"/>
      <c r="Q518" s="93"/>
      <c r="R518" s="93"/>
      <c r="S518" s="93"/>
      <c r="T518" s="93"/>
      <c r="U518" s="93"/>
      <c r="Z518" s="93"/>
      <c r="AA518" s="93"/>
      <c r="AK518" s="90"/>
    </row>
    <row r="519" spans="1:37" x14ac:dyDescent="0.3">
      <c r="A519" s="511"/>
      <c r="B519" s="93"/>
      <c r="C519" s="93"/>
      <c r="F519" s="286"/>
      <c r="G519" s="93"/>
      <c r="H519" s="93"/>
      <c r="I519" s="93"/>
      <c r="J519" s="93"/>
      <c r="K519" s="93"/>
      <c r="L519" s="93"/>
      <c r="M519" s="333"/>
      <c r="N519" s="334"/>
      <c r="O519" s="93"/>
      <c r="P519" s="93"/>
      <c r="Q519" s="93"/>
      <c r="R519" s="93"/>
      <c r="S519" s="93"/>
      <c r="T519" s="93"/>
      <c r="U519" s="93"/>
      <c r="Z519" s="93"/>
      <c r="AA519" s="93"/>
      <c r="AK519" s="90"/>
    </row>
    <row r="520" spans="1:37" x14ac:dyDescent="0.3">
      <c r="A520" s="511"/>
      <c r="B520" s="93"/>
      <c r="C520" s="93"/>
      <c r="F520" s="286"/>
      <c r="G520" s="93"/>
      <c r="H520" s="93"/>
      <c r="I520" s="93"/>
      <c r="J520" s="93"/>
      <c r="K520" s="93"/>
      <c r="L520" s="93"/>
      <c r="M520" s="333"/>
      <c r="N520" s="334"/>
      <c r="O520" s="93"/>
      <c r="P520" s="93"/>
      <c r="Q520" s="93"/>
      <c r="R520" s="93"/>
      <c r="S520" s="93"/>
      <c r="T520" s="93"/>
      <c r="U520" s="93"/>
      <c r="Z520" s="93"/>
      <c r="AA520" s="93"/>
      <c r="AK520" s="90"/>
    </row>
    <row r="521" spans="1:37" x14ac:dyDescent="0.3">
      <c r="A521" s="511"/>
      <c r="B521" s="93"/>
      <c r="C521" s="93"/>
      <c r="F521" s="286"/>
      <c r="G521" s="93"/>
      <c r="H521" s="93"/>
      <c r="I521" s="93"/>
      <c r="J521" s="93"/>
      <c r="K521" s="93"/>
      <c r="L521" s="93"/>
      <c r="M521" s="333"/>
      <c r="N521" s="334"/>
      <c r="O521" s="93"/>
      <c r="P521" s="93"/>
      <c r="Q521" s="93"/>
      <c r="R521" s="93"/>
      <c r="S521" s="93"/>
      <c r="T521" s="93"/>
      <c r="U521" s="93"/>
      <c r="Z521" s="93"/>
      <c r="AA521" s="93"/>
      <c r="AK521" s="90"/>
    </row>
    <row r="522" spans="1:37" x14ac:dyDescent="0.3">
      <c r="A522" s="511"/>
      <c r="B522" s="93"/>
      <c r="C522" s="93"/>
      <c r="D522" s="94"/>
      <c r="F522" s="286"/>
      <c r="G522" s="93"/>
      <c r="H522" s="93"/>
      <c r="I522" s="93"/>
      <c r="J522" s="93"/>
      <c r="K522" s="93"/>
      <c r="L522" s="93"/>
      <c r="M522" s="333"/>
      <c r="N522" s="334"/>
      <c r="O522" s="93"/>
      <c r="P522" s="93"/>
      <c r="Q522" s="93"/>
      <c r="R522" s="93"/>
      <c r="S522" s="93"/>
      <c r="T522" s="93"/>
      <c r="U522" s="93"/>
      <c r="Z522" s="93"/>
      <c r="AA522" s="93"/>
      <c r="AK522" s="90"/>
    </row>
    <row r="523" spans="1:37" x14ac:dyDescent="0.3">
      <c r="A523" s="511"/>
      <c r="B523" s="93"/>
      <c r="C523" s="93"/>
      <c r="F523" s="286"/>
      <c r="G523" s="93"/>
      <c r="H523" s="93"/>
      <c r="I523" s="93"/>
      <c r="J523" s="93"/>
      <c r="K523" s="93"/>
      <c r="L523" s="93"/>
      <c r="M523" s="333"/>
      <c r="N523" s="334"/>
      <c r="O523" s="93"/>
      <c r="P523" s="93"/>
      <c r="Q523" s="93"/>
      <c r="R523" s="93"/>
      <c r="S523" s="93"/>
      <c r="T523" s="93"/>
      <c r="U523" s="93"/>
      <c r="Z523" s="93"/>
      <c r="AA523" s="93"/>
      <c r="AK523" s="90"/>
    </row>
    <row r="524" spans="1:37" x14ac:dyDescent="0.3">
      <c r="A524" s="511"/>
      <c r="B524" s="93"/>
      <c r="C524" s="93"/>
      <c r="D524" s="93"/>
      <c r="E524" s="93"/>
      <c r="F524" s="286"/>
      <c r="G524" s="93"/>
      <c r="H524" s="93"/>
      <c r="I524" s="93"/>
      <c r="J524" s="93"/>
      <c r="K524" s="93"/>
      <c r="L524" s="93"/>
      <c r="M524" s="333"/>
      <c r="N524" s="334"/>
      <c r="O524" s="93"/>
      <c r="P524" s="93"/>
      <c r="Q524" s="93"/>
      <c r="R524" s="93"/>
      <c r="S524" s="93"/>
      <c r="T524" s="93"/>
      <c r="U524" s="93"/>
      <c r="Z524" s="93"/>
      <c r="AA524" s="93"/>
      <c r="AK524" s="90"/>
    </row>
    <row r="525" spans="1:37" x14ac:dyDescent="0.3">
      <c r="A525" s="511"/>
      <c r="B525" s="93"/>
      <c r="C525" s="93"/>
      <c r="D525" s="93"/>
      <c r="E525" s="93"/>
      <c r="F525" s="286"/>
      <c r="G525" s="93"/>
      <c r="H525" s="93"/>
      <c r="I525" s="93"/>
      <c r="J525" s="93"/>
      <c r="K525" s="93"/>
      <c r="L525" s="93"/>
      <c r="M525" s="333"/>
      <c r="N525" s="334"/>
      <c r="O525" s="93"/>
      <c r="P525" s="93"/>
      <c r="Q525" s="93"/>
      <c r="R525" s="93"/>
      <c r="S525" s="93"/>
      <c r="T525" s="93"/>
      <c r="U525" s="93"/>
      <c r="Z525" s="93"/>
      <c r="AA525" s="93"/>
      <c r="AF525" s="302"/>
      <c r="AK525" s="90"/>
    </row>
    <row r="526" spans="1:37" x14ac:dyDescent="0.3">
      <c r="A526" s="511"/>
      <c r="B526" s="93"/>
      <c r="C526" s="93"/>
      <c r="D526" s="93"/>
      <c r="E526" s="93"/>
      <c r="F526" s="286"/>
      <c r="G526" s="93"/>
      <c r="H526" s="93"/>
      <c r="I526" s="93"/>
      <c r="J526" s="93"/>
      <c r="K526" s="93"/>
      <c r="L526" s="93"/>
      <c r="M526" s="333"/>
      <c r="N526" s="334"/>
      <c r="O526" s="93"/>
      <c r="P526" s="93"/>
      <c r="Q526" s="93"/>
      <c r="R526" s="93"/>
      <c r="S526" s="93"/>
      <c r="T526" s="93"/>
      <c r="U526" s="93"/>
      <c r="Z526" s="93"/>
      <c r="AA526" s="93"/>
      <c r="AK526" s="90"/>
    </row>
    <row r="527" spans="1:37" x14ac:dyDescent="0.3">
      <c r="A527" s="511"/>
      <c r="B527" s="93"/>
      <c r="C527" s="93"/>
      <c r="D527" s="93"/>
      <c r="E527" s="93"/>
      <c r="F527" s="286"/>
      <c r="G527" s="93"/>
      <c r="H527" s="93"/>
      <c r="I527" s="93"/>
      <c r="J527" s="93"/>
      <c r="K527" s="93"/>
      <c r="L527" s="93"/>
      <c r="M527" s="333"/>
      <c r="N527" s="334"/>
      <c r="O527" s="93"/>
      <c r="P527" s="93"/>
      <c r="Q527" s="93"/>
      <c r="R527" s="93"/>
      <c r="S527" s="93"/>
      <c r="T527" s="93"/>
      <c r="U527" s="93"/>
      <c r="Z527" s="93"/>
      <c r="AA527" s="93"/>
      <c r="AK527" s="90"/>
    </row>
    <row r="528" spans="1:37" x14ac:dyDescent="0.3">
      <c r="A528" s="511"/>
      <c r="B528" s="93"/>
      <c r="C528" s="93"/>
      <c r="D528" s="93"/>
      <c r="E528" s="93"/>
      <c r="F528" s="286"/>
      <c r="G528" s="93"/>
      <c r="H528" s="93"/>
      <c r="I528" s="93"/>
      <c r="J528" s="93"/>
      <c r="K528" s="93"/>
      <c r="L528" s="93"/>
      <c r="O528" s="93"/>
      <c r="P528" s="93"/>
      <c r="Q528" s="93"/>
      <c r="R528" s="93"/>
      <c r="S528" s="93"/>
      <c r="T528" s="93"/>
      <c r="U528" s="93"/>
      <c r="Z528" s="93"/>
      <c r="AA528" s="93"/>
      <c r="AK528" s="90"/>
    </row>
    <row r="529" spans="1:37" x14ac:dyDescent="0.3">
      <c r="A529" s="511"/>
      <c r="B529" s="93"/>
      <c r="C529" s="93"/>
      <c r="D529" s="252"/>
      <c r="E529" s="93"/>
      <c r="F529" s="286"/>
      <c r="G529" s="93"/>
      <c r="H529" s="93"/>
      <c r="I529" s="93"/>
      <c r="J529" s="93"/>
      <c r="K529" s="93"/>
      <c r="L529" s="93"/>
      <c r="O529" s="93"/>
      <c r="P529" s="93"/>
      <c r="Q529" s="93"/>
      <c r="R529" s="93"/>
      <c r="S529" s="93"/>
      <c r="T529" s="93"/>
      <c r="U529" s="93"/>
      <c r="Z529" s="93"/>
      <c r="AA529" s="93"/>
      <c r="AF529" s="302"/>
      <c r="AK529" s="90"/>
    </row>
    <row r="530" spans="1:37" x14ac:dyDescent="0.3">
      <c r="A530" s="511"/>
      <c r="B530" s="93"/>
      <c r="C530" s="93"/>
      <c r="D530" s="252"/>
      <c r="E530" s="93"/>
      <c r="F530" s="286"/>
      <c r="G530" s="93"/>
      <c r="H530" s="93"/>
      <c r="I530" s="93"/>
      <c r="J530" s="93"/>
      <c r="K530" s="93"/>
      <c r="L530" s="93"/>
      <c r="O530" s="93"/>
      <c r="P530" s="93"/>
      <c r="Q530" s="93"/>
      <c r="R530" s="93"/>
      <c r="S530" s="93"/>
      <c r="T530" s="93"/>
      <c r="U530" s="93"/>
      <c r="Z530" s="93"/>
      <c r="AA530" s="93"/>
      <c r="AF530" s="302"/>
      <c r="AK530" s="90"/>
    </row>
    <row r="531" spans="1:37" x14ac:dyDescent="0.3">
      <c r="A531" s="511"/>
      <c r="B531" s="93"/>
      <c r="C531" s="93"/>
      <c r="D531" s="252"/>
      <c r="E531" s="93"/>
      <c r="F531" s="286"/>
      <c r="G531" s="93"/>
      <c r="H531" s="93"/>
      <c r="I531" s="93"/>
      <c r="J531" s="93"/>
      <c r="K531" s="93"/>
      <c r="L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K531" s="90"/>
    </row>
    <row r="532" spans="1:37" x14ac:dyDescent="0.3">
      <c r="A532" s="511"/>
      <c r="B532" s="93"/>
      <c r="C532" s="93"/>
      <c r="D532" s="252"/>
      <c r="E532" s="93"/>
      <c r="F532" s="286"/>
      <c r="G532" s="252"/>
      <c r="H532" s="93"/>
      <c r="I532" s="93"/>
      <c r="J532" s="93"/>
      <c r="K532" s="93"/>
      <c r="L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K532" s="90"/>
    </row>
    <row r="533" spans="1:37" x14ac:dyDescent="0.3">
      <c r="A533" s="511"/>
      <c r="B533" s="93"/>
      <c r="C533" s="93"/>
      <c r="D533" s="252"/>
      <c r="E533" s="93"/>
      <c r="F533" s="286"/>
      <c r="G533" s="252"/>
      <c r="H533" s="93"/>
      <c r="I533" s="93"/>
      <c r="J533" s="93"/>
      <c r="K533" s="93"/>
      <c r="L533" s="93"/>
      <c r="O533" s="93"/>
      <c r="P533" s="93"/>
      <c r="Q533" s="385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K533" s="90"/>
    </row>
    <row r="534" spans="1:37" ht="17.399999999999999" x14ac:dyDescent="0.35">
      <c r="A534" s="511"/>
      <c r="B534" s="164"/>
      <c r="C534" s="164"/>
      <c r="D534" s="165"/>
      <c r="E534" s="164"/>
      <c r="F534" s="287"/>
      <c r="G534" s="164"/>
      <c r="H534" s="164"/>
      <c r="I534" s="164"/>
      <c r="J534" s="164"/>
      <c r="K534" s="164"/>
      <c r="L534" s="93"/>
      <c r="M534" s="93"/>
      <c r="N534" s="93"/>
      <c r="O534" s="93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  <c r="AA534" s="164"/>
      <c r="AK534" s="90"/>
    </row>
    <row r="535" spans="1:37" ht="17.399999999999999" x14ac:dyDescent="0.35">
      <c r="A535" s="511"/>
      <c r="B535" s="164"/>
      <c r="C535" s="164"/>
      <c r="D535" s="165"/>
      <c r="E535" s="164"/>
      <c r="F535" s="287"/>
      <c r="G535" s="164"/>
      <c r="H535" s="164"/>
      <c r="I535" s="164"/>
      <c r="J535" s="164"/>
      <c r="K535" s="164"/>
      <c r="L535" s="93"/>
      <c r="M535" s="93"/>
      <c r="N535" s="93"/>
      <c r="O535" s="93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  <c r="AA535" s="164"/>
      <c r="AK535" s="90"/>
    </row>
    <row r="536" spans="1:37" ht="17.399999999999999" x14ac:dyDescent="0.35">
      <c r="A536" s="511"/>
      <c r="B536" s="164"/>
      <c r="C536" s="164"/>
      <c r="D536" s="165"/>
      <c r="E536" s="164"/>
      <c r="F536" s="287"/>
      <c r="G536" s="164"/>
      <c r="H536" s="164"/>
      <c r="I536" s="164"/>
      <c r="J536" s="164"/>
      <c r="K536" s="164"/>
      <c r="L536" s="93"/>
      <c r="M536" s="93"/>
      <c r="N536" s="93"/>
      <c r="O536" s="93"/>
      <c r="P536" s="164"/>
      <c r="Q536" s="164"/>
      <c r="R536" s="164"/>
      <c r="S536" s="164"/>
      <c r="T536" s="164"/>
      <c r="U536" s="164"/>
      <c r="V536" s="164"/>
      <c r="W536" s="164"/>
      <c r="X536" s="93"/>
      <c r="Y536" s="164"/>
      <c r="Z536" s="164"/>
      <c r="AA536" s="164"/>
      <c r="AK536" s="90"/>
    </row>
    <row r="537" spans="1:37" ht="17.399999999999999" x14ac:dyDescent="0.35">
      <c r="A537" s="511"/>
      <c r="B537" s="164"/>
      <c r="C537" s="164"/>
      <c r="D537" s="342">
        <f>SUM(D494:D520)</f>
        <v>323495.40000000002</v>
      </c>
      <c r="E537" s="164"/>
      <c r="F537" s="287"/>
      <c r="G537" s="164"/>
      <c r="H537" s="164"/>
      <c r="I537" s="342">
        <f>SUM(I494:I515)</f>
        <v>224145</v>
      </c>
      <c r="J537" s="164"/>
      <c r="K537" s="164"/>
      <c r="L537" s="164"/>
      <c r="M537" s="164"/>
      <c r="N537" s="342">
        <f>SUM(N494:N512)</f>
        <v>76820.800000000003</v>
      </c>
      <c r="O537" s="164"/>
      <c r="P537" s="164"/>
      <c r="Q537" s="164"/>
      <c r="R537" s="164"/>
      <c r="S537" s="342">
        <f>SUM(S494:S536)</f>
        <v>185284.84</v>
      </c>
      <c r="T537" s="164"/>
      <c r="U537" s="164"/>
      <c r="V537" s="164"/>
      <c r="W537" s="164"/>
      <c r="X537" s="93"/>
      <c r="Y537" s="164"/>
      <c r="Z537" s="164"/>
      <c r="AA537" s="164"/>
      <c r="AK537" s="90"/>
    </row>
    <row r="538" spans="1:37" ht="17.399999999999999" x14ac:dyDescent="0.35">
      <c r="A538" s="511"/>
      <c r="B538" s="164"/>
      <c r="C538" s="164"/>
      <c r="D538" s="164"/>
      <c r="E538" s="164"/>
      <c r="F538" s="287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93"/>
      <c r="Y538" s="164"/>
      <c r="Z538" s="164"/>
      <c r="AA538" s="164"/>
      <c r="AK538" s="90"/>
    </row>
    <row r="539" spans="1:37" ht="17.399999999999999" x14ac:dyDescent="0.35">
      <c r="A539" s="511"/>
      <c r="B539" s="164"/>
      <c r="C539" s="164"/>
      <c r="D539" s="164"/>
      <c r="E539" s="164"/>
      <c r="F539" s="287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  <c r="AA539" s="164"/>
      <c r="AK539" s="90"/>
    </row>
    <row r="540" spans="1:37" ht="17.399999999999999" x14ac:dyDescent="0.35">
      <c r="A540" s="511"/>
      <c r="B540" s="164"/>
      <c r="C540" s="343"/>
      <c r="D540" s="522" t="s">
        <v>219</v>
      </c>
      <c r="E540" s="523"/>
      <c r="F540" s="524" t="s">
        <v>220</v>
      </c>
      <c r="G540" s="524"/>
      <c r="H540" s="524" t="s">
        <v>221</v>
      </c>
      <c r="I540" s="524"/>
      <c r="J540" s="524" t="s">
        <v>222</v>
      </c>
      <c r="K540" s="524"/>
      <c r="L540" s="522" t="s">
        <v>223</v>
      </c>
      <c r="M540" s="523"/>
      <c r="N540" s="524" t="s">
        <v>224</v>
      </c>
      <c r="O540" s="524"/>
      <c r="P540" s="524" t="s">
        <v>225</v>
      </c>
      <c r="Q540" s="524"/>
      <c r="R540" s="524" t="s">
        <v>226</v>
      </c>
      <c r="S540" s="524"/>
      <c r="T540" s="524" t="s">
        <v>227</v>
      </c>
      <c r="U540" s="524"/>
      <c r="V540" s="524" t="s">
        <v>228</v>
      </c>
      <c r="W540" s="524"/>
      <c r="X540" s="524" t="s">
        <v>229</v>
      </c>
      <c r="Y540" s="524"/>
      <c r="Z540" s="524" t="s">
        <v>230</v>
      </c>
      <c r="AA540" s="524"/>
      <c r="AK540" s="90"/>
    </row>
    <row r="541" spans="1:37" ht="17.399999999999999" x14ac:dyDescent="0.35">
      <c r="A541" s="511"/>
      <c r="B541" s="164"/>
      <c r="C541" s="344" t="s">
        <v>233</v>
      </c>
      <c r="D541" s="345">
        <v>124163</v>
      </c>
      <c r="E541" s="345">
        <f>D541/60</f>
        <v>2069.3833333333332</v>
      </c>
      <c r="F541" s="346">
        <v>226382</v>
      </c>
      <c r="G541" s="345">
        <v>3773.0333333333333</v>
      </c>
      <c r="H541" s="347">
        <v>262601</v>
      </c>
      <c r="I541" s="345">
        <f>H541/60</f>
        <v>4376.6833333333334</v>
      </c>
      <c r="J541" s="347">
        <v>221316</v>
      </c>
      <c r="K541" s="345">
        <f>J541/60</f>
        <v>3688.6</v>
      </c>
      <c r="L541" s="348">
        <v>205093</v>
      </c>
      <c r="M541" s="345">
        <f>L541/60</f>
        <v>3418.2166666666667</v>
      </c>
      <c r="N541" s="349">
        <f>I537</f>
        <v>224145</v>
      </c>
      <c r="O541" s="345">
        <f>N541/60</f>
        <v>3735.75</v>
      </c>
      <c r="P541" s="349"/>
      <c r="Q541" s="345">
        <f>P541/60</f>
        <v>0</v>
      </c>
      <c r="R541" s="349"/>
      <c r="S541" s="345">
        <f>R541/60</f>
        <v>0</v>
      </c>
      <c r="T541" s="349"/>
      <c r="U541" s="343"/>
      <c r="V541" s="349"/>
      <c r="W541" s="343"/>
      <c r="X541" s="349"/>
      <c r="Y541" s="343"/>
      <c r="Z541" s="349"/>
      <c r="AA541" s="343"/>
      <c r="AK541" s="90"/>
    </row>
    <row r="542" spans="1:37" ht="17.399999999999999" x14ac:dyDescent="0.35">
      <c r="A542" s="511"/>
      <c r="B542" s="164"/>
      <c r="C542" s="344" t="s">
        <v>234</v>
      </c>
      <c r="D542" s="345">
        <v>172515.20000000001</v>
      </c>
      <c r="E542" s="345">
        <f>D542/60</f>
        <v>2875.2533333333336</v>
      </c>
      <c r="F542" s="346">
        <v>201945.40000000002</v>
      </c>
      <c r="G542" s="345">
        <v>3365.7566666666671</v>
      </c>
      <c r="H542" s="347">
        <v>229855</v>
      </c>
      <c r="I542" s="345">
        <f t="shared" ref="I542:I546" si="80">H542/60</f>
        <v>3830.9166666666665</v>
      </c>
      <c r="J542" s="347">
        <v>286666.40000000002</v>
      </c>
      <c r="K542" s="345">
        <f t="shared" ref="K542:K546" si="81">J542/60</f>
        <v>4777.7733333333335</v>
      </c>
      <c r="L542" s="349">
        <v>287992.19999999995</v>
      </c>
      <c r="M542" s="345">
        <f t="shared" ref="M542:M544" si="82">L542/60</f>
        <v>4799.869999999999</v>
      </c>
      <c r="N542" s="349">
        <f>D537</f>
        <v>323495.40000000002</v>
      </c>
      <c r="O542" s="345">
        <f t="shared" ref="O542:O546" si="83">N542/60</f>
        <v>5391.59</v>
      </c>
      <c r="P542" s="349"/>
      <c r="Q542" s="345">
        <f t="shared" ref="Q542:Q546" si="84">P542/60</f>
        <v>0</v>
      </c>
      <c r="R542" s="349"/>
      <c r="S542" s="345">
        <f t="shared" ref="S542:S546" si="85">R542/60</f>
        <v>0</v>
      </c>
      <c r="T542" s="349"/>
      <c r="U542" s="343"/>
      <c r="V542" s="349"/>
      <c r="W542" s="343"/>
      <c r="X542" s="343"/>
      <c r="Y542" s="343"/>
      <c r="Z542" s="349"/>
      <c r="AA542" s="343"/>
      <c r="AK542" s="90"/>
    </row>
    <row r="543" spans="1:37" ht="17.399999999999999" x14ac:dyDescent="0.35">
      <c r="A543" s="511"/>
      <c r="B543" s="164"/>
      <c r="C543" s="344" t="s">
        <v>236</v>
      </c>
      <c r="D543" s="345">
        <v>157647.1</v>
      </c>
      <c r="E543" s="345">
        <f t="shared" ref="E543:E545" si="86">D543/60</f>
        <v>2627.4516666666668</v>
      </c>
      <c r="F543" s="346">
        <v>173546</v>
      </c>
      <c r="G543" s="345">
        <v>2892.4333333333334</v>
      </c>
      <c r="H543" s="347">
        <v>231552.7</v>
      </c>
      <c r="I543" s="345">
        <f t="shared" si="80"/>
        <v>3859.211666666667</v>
      </c>
      <c r="J543" s="347">
        <v>249952</v>
      </c>
      <c r="K543" s="345">
        <f t="shared" si="81"/>
        <v>4165.8666666666668</v>
      </c>
      <c r="L543" s="349">
        <v>187220</v>
      </c>
      <c r="M543" s="345">
        <f t="shared" si="82"/>
        <v>3120.3333333333335</v>
      </c>
      <c r="N543" s="349">
        <f>S537</f>
        <v>185284.84</v>
      </c>
      <c r="O543" s="345">
        <f t="shared" si="83"/>
        <v>3088.0806666666667</v>
      </c>
      <c r="P543" s="349"/>
      <c r="Q543" s="345">
        <f t="shared" si="84"/>
        <v>0</v>
      </c>
      <c r="R543" s="349"/>
      <c r="S543" s="345">
        <f t="shared" si="85"/>
        <v>0</v>
      </c>
      <c r="T543" s="349"/>
      <c r="U543" s="343"/>
      <c r="V543" s="349"/>
      <c r="W543" s="343"/>
      <c r="X543" s="343"/>
      <c r="Y543" s="343"/>
      <c r="Z543" s="349"/>
      <c r="AA543" s="343"/>
      <c r="AK543" s="90"/>
    </row>
    <row r="544" spans="1:37" ht="17.399999999999999" x14ac:dyDescent="0.35">
      <c r="A544" s="511"/>
      <c r="B544" s="164"/>
      <c r="C544" s="344" t="s">
        <v>237</v>
      </c>
      <c r="D544" s="345">
        <v>74670</v>
      </c>
      <c r="E544" s="345">
        <f t="shared" si="86"/>
        <v>1244.5</v>
      </c>
      <c r="F544" s="346">
        <v>96006.8</v>
      </c>
      <c r="G544" s="345">
        <v>1600.1133333333335</v>
      </c>
      <c r="H544" s="347">
        <v>138906.20000000001</v>
      </c>
      <c r="I544" s="345">
        <f t="shared" si="80"/>
        <v>2315.1033333333335</v>
      </c>
      <c r="J544" s="347">
        <v>95281.8</v>
      </c>
      <c r="K544" s="345">
        <f t="shared" si="81"/>
        <v>1588.03</v>
      </c>
      <c r="L544" s="349">
        <v>81555</v>
      </c>
      <c r="M544" s="345">
        <f t="shared" si="82"/>
        <v>1359.25</v>
      </c>
      <c r="N544" s="349">
        <f>N537</f>
        <v>76820.800000000003</v>
      </c>
      <c r="O544" s="345">
        <f t="shared" si="83"/>
        <v>1280.3466666666668</v>
      </c>
      <c r="P544" s="349"/>
      <c r="Q544" s="345">
        <f t="shared" si="84"/>
        <v>0</v>
      </c>
      <c r="R544" s="349"/>
      <c r="S544" s="345">
        <f t="shared" si="85"/>
        <v>0</v>
      </c>
      <c r="T544" s="349"/>
      <c r="U544" s="343"/>
      <c r="V544" s="349"/>
      <c r="W544" s="343"/>
      <c r="X544" s="343"/>
      <c r="Y544" s="343"/>
      <c r="Z544" s="349"/>
      <c r="AA544" s="343"/>
      <c r="AK544" s="90"/>
    </row>
    <row r="545" spans="1:37" ht="17.399999999999999" x14ac:dyDescent="0.35">
      <c r="A545" s="511"/>
      <c r="B545" s="164"/>
      <c r="C545" s="344" t="s">
        <v>238</v>
      </c>
      <c r="D545" s="345">
        <v>6660.85</v>
      </c>
      <c r="E545" s="345">
        <f t="shared" si="86"/>
        <v>111.01416666666667</v>
      </c>
      <c r="F545" s="346">
        <v>46265.5</v>
      </c>
      <c r="G545" s="345">
        <v>771.0916666666667</v>
      </c>
      <c r="H545" s="347">
        <v>90103.58</v>
      </c>
      <c r="I545" s="345">
        <f t="shared" si="80"/>
        <v>1501.7263333333333</v>
      </c>
      <c r="J545" s="347">
        <v>81565.8</v>
      </c>
      <c r="K545" s="345">
        <f t="shared" si="81"/>
        <v>1359.43</v>
      </c>
      <c r="L545" s="351">
        <v>19857.829999999998</v>
      </c>
      <c r="M545" s="345">
        <f>L545/60</f>
        <v>330.9638333333333</v>
      </c>
      <c r="N545" s="351"/>
      <c r="O545" s="345">
        <f t="shared" si="83"/>
        <v>0</v>
      </c>
      <c r="P545" s="351"/>
      <c r="Q545" s="345">
        <f t="shared" si="84"/>
        <v>0</v>
      </c>
      <c r="R545" s="351"/>
      <c r="S545" s="345">
        <f t="shared" si="85"/>
        <v>0</v>
      </c>
      <c r="T545" s="351"/>
      <c r="U545" s="343"/>
      <c r="V545" s="351"/>
      <c r="W545" s="343"/>
      <c r="X545" s="350"/>
      <c r="Y545" s="343"/>
      <c r="Z545" s="350"/>
      <c r="AA545" s="343"/>
      <c r="AK545" s="90"/>
    </row>
    <row r="546" spans="1:37" ht="17.399999999999999" x14ac:dyDescent="0.35">
      <c r="A546" s="511"/>
      <c r="B546" s="265"/>
      <c r="C546" s="344" t="s">
        <v>239</v>
      </c>
      <c r="D546" s="345">
        <v>3672</v>
      </c>
      <c r="E546" s="345">
        <f>D546/60</f>
        <v>61.2</v>
      </c>
      <c r="F546" s="346">
        <v>72295.34</v>
      </c>
      <c r="G546" s="345">
        <v>1204.9223333333332</v>
      </c>
      <c r="H546" s="347">
        <v>69349.39999999998</v>
      </c>
      <c r="I546" s="345">
        <f t="shared" si="80"/>
        <v>1155.823333333333</v>
      </c>
      <c r="J546" s="347">
        <v>60896.53</v>
      </c>
      <c r="K546" s="345">
        <f t="shared" si="81"/>
        <v>1014.9421666666666</v>
      </c>
      <c r="L546" s="347">
        <v>35794.719999999994</v>
      </c>
      <c r="M546" s="345">
        <f t="shared" ref="M546" si="87">L546/60</f>
        <v>596.57866666666655</v>
      </c>
      <c r="N546" s="347"/>
      <c r="O546" s="345">
        <f t="shared" si="83"/>
        <v>0</v>
      </c>
      <c r="P546" s="343"/>
      <c r="Q546" s="345">
        <f t="shared" si="84"/>
        <v>0</v>
      </c>
      <c r="R546" s="343"/>
      <c r="S546" s="345">
        <f t="shared" si="85"/>
        <v>0</v>
      </c>
      <c r="T546" s="343"/>
      <c r="U546" s="343"/>
      <c r="V546" s="343"/>
      <c r="W546" s="343"/>
      <c r="X546" s="343"/>
      <c r="Y546" s="343"/>
      <c r="Z546" s="343"/>
      <c r="AA546" s="343"/>
      <c r="AK546" s="90"/>
    </row>
    <row r="547" spans="1:37" ht="17.399999999999999" x14ac:dyDescent="0.35">
      <c r="A547" s="511"/>
      <c r="B547" s="164"/>
      <c r="C547" s="162"/>
      <c r="D547" s="163"/>
      <c r="E547" s="352">
        <f>SUM(E541:E546)</f>
        <v>8988.8024999999998</v>
      </c>
      <c r="F547" s="353"/>
      <c r="G547" s="352">
        <f>SUM(G541:G546)</f>
        <v>13607.350666666669</v>
      </c>
      <c r="H547" s="347"/>
      <c r="I547" s="352">
        <f>SUM(I541:I546)</f>
        <v>17039.464666666667</v>
      </c>
      <c r="J547" s="347"/>
      <c r="K547" s="352">
        <f>SUM(K541:K546)</f>
        <v>16594.642166666668</v>
      </c>
      <c r="L547" s="343"/>
      <c r="M547" s="352">
        <f>SUM(M541:M546)</f>
        <v>13625.2125</v>
      </c>
      <c r="N547" s="343"/>
      <c r="O547" s="352">
        <f>SUM(O541:O546)</f>
        <v>13495.767333333333</v>
      </c>
      <c r="P547" s="343"/>
      <c r="Q547" s="352">
        <f>SUM(Q541:Q546)</f>
        <v>0</v>
      </c>
      <c r="R547" s="343"/>
      <c r="S547" s="352">
        <f>SUM(S541:S546)</f>
        <v>0</v>
      </c>
      <c r="T547" s="343"/>
      <c r="U547" s="354"/>
      <c r="V547" s="343"/>
      <c r="W547" s="354"/>
      <c r="X547" s="343"/>
      <c r="Y547" s="354"/>
      <c r="Z547" s="343"/>
      <c r="AA547" s="356"/>
      <c r="AK547" s="90"/>
    </row>
    <row r="548" spans="1:37" ht="17.399999999999999" x14ac:dyDescent="0.35">
      <c r="A548" s="511"/>
      <c r="B548" s="164"/>
      <c r="C548" s="164"/>
      <c r="D548" s="164"/>
      <c r="E548" s="164"/>
      <c r="F548" s="287"/>
      <c r="G548" s="164"/>
      <c r="H548" s="164"/>
      <c r="I548" s="164"/>
      <c r="J548" s="164"/>
      <c r="K548" s="164"/>
      <c r="L548" s="164"/>
      <c r="M548" s="165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  <c r="AA548" s="164"/>
      <c r="AK548" s="90"/>
    </row>
    <row r="549" spans="1:37" x14ac:dyDescent="0.3">
      <c r="A549" s="511"/>
      <c r="B549" s="93"/>
      <c r="C549" s="93"/>
      <c r="D549" s="93"/>
      <c r="E549" s="93"/>
      <c r="F549" s="286"/>
      <c r="G549" s="93"/>
      <c r="H549" s="93"/>
      <c r="I549" s="93"/>
      <c r="J549" s="93"/>
      <c r="K549" s="93"/>
      <c r="L549" s="93"/>
      <c r="M549" s="93"/>
      <c r="N549" s="252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K549" s="90"/>
    </row>
    <row r="550" spans="1:37" x14ac:dyDescent="0.3">
      <c r="A550" s="511"/>
      <c r="B550" s="93"/>
      <c r="C550" s="93"/>
      <c r="D550" s="93"/>
      <c r="E550" s="93"/>
      <c r="F550" s="286"/>
      <c r="G550" s="93"/>
      <c r="H550" s="93"/>
      <c r="I550" s="93"/>
      <c r="J550" s="93"/>
      <c r="K550" s="93"/>
      <c r="L550" s="208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K550" s="90"/>
    </row>
    <row r="551" spans="1:37" x14ac:dyDescent="0.3">
      <c r="A551" s="511"/>
      <c r="B551" s="93"/>
      <c r="C551" s="93"/>
      <c r="D551" s="93"/>
      <c r="E551" s="93"/>
      <c r="F551" s="286"/>
      <c r="G551" s="93"/>
      <c r="H551" s="93"/>
      <c r="I551" s="93"/>
      <c r="J551" s="93"/>
      <c r="K551" s="93"/>
      <c r="L551" s="208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K551" s="90"/>
    </row>
    <row r="552" spans="1:37" ht="15" thickBot="1" x14ac:dyDescent="0.35">
      <c r="A552" s="511"/>
      <c r="B552" s="93"/>
      <c r="C552" s="93"/>
      <c r="D552" s="93"/>
      <c r="E552" s="93"/>
      <c r="F552" s="286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K552" s="90"/>
    </row>
    <row r="553" spans="1:37" ht="31.8" thickBot="1" x14ac:dyDescent="0.65">
      <c r="A553" s="511"/>
      <c r="B553" s="525" t="s">
        <v>246</v>
      </c>
      <c r="C553" s="525"/>
      <c r="D553" s="525"/>
      <c r="E553" s="525"/>
      <c r="F553" s="525"/>
      <c r="G553" s="525"/>
      <c r="H553" s="525"/>
      <c r="I553" s="525"/>
      <c r="J553" s="525"/>
      <c r="K553" s="525"/>
      <c r="L553" s="525"/>
      <c r="M553" s="525"/>
      <c r="N553" s="525"/>
      <c r="O553" s="525"/>
      <c r="P553" s="525"/>
      <c r="Q553" s="525"/>
      <c r="R553" s="525"/>
      <c r="S553" s="525"/>
      <c r="T553" s="525"/>
      <c r="U553" s="525"/>
      <c r="V553" s="525"/>
      <c r="W553" s="525"/>
      <c r="X553" s="525"/>
      <c r="Y553" s="525"/>
      <c r="Z553" s="525"/>
      <c r="AA553" s="526"/>
      <c r="AK553" s="90"/>
    </row>
    <row r="554" spans="1:37" ht="17.399999999999999" thickBot="1" x14ac:dyDescent="0.35">
      <c r="A554" s="511"/>
      <c r="B554" s="527"/>
      <c r="C554" s="527"/>
      <c r="D554" s="166" t="s">
        <v>247</v>
      </c>
      <c r="E554" s="167" t="s">
        <v>248</v>
      </c>
      <c r="F554" s="374" t="s">
        <v>249</v>
      </c>
      <c r="G554" s="167" t="s">
        <v>250</v>
      </c>
      <c r="H554" s="166" t="s">
        <v>251</v>
      </c>
      <c r="I554" s="167" t="s">
        <v>252</v>
      </c>
      <c r="J554" s="166" t="s">
        <v>253</v>
      </c>
      <c r="K554" s="167" t="s">
        <v>254</v>
      </c>
      <c r="L554" s="166" t="s">
        <v>255</v>
      </c>
      <c r="M554" s="167" t="s">
        <v>256</v>
      </c>
      <c r="N554" s="168" t="s">
        <v>257</v>
      </c>
      <c r="O554" s="169" t="s">
        <v>258</v>
      </c>
      <c r="P554" s="166" t="s">
        <v>259</v>
      </c>
      <c r="Q554" s="167" t="s">
        <v>260</v>
      </c>
      <c r="R554" s="166" t="s">
        <v>261</v>
      </c>
      <c r="S554" s="167" t="s">
        <v>262</v>
      </c>
      <c r="T554" s="166" t="s">
        <v>263</v>
      </c>
      <c r="U554" s="166" t="s">
        <v>264</v>
      </c>
      <c r="V554" s="166" t="s">
        <v>265</v>
      </c>
      <c r="W554" s="170" t="s">
        <v>266</v>
      </c>
      <c r="X554" s="166" t="s">
        <v>267</v>
      </c>
      <c r="Y554" s="170" t="s">
        <v>268</v>
      </c>
      <c r="Z554" s="166" t="s">
        <v>269</v>
      </c>
      <c r="AA554" s="170" t="s">
        <v>270</v>
      </c>
      <c r="AK554" s="90"/>
    </row>
    <row r="555" spans="1:37" ht="17.399999999999999" x14ac:dyDescent="0.35">
      <c r="A555" s="511"/>
      <c r="B555" s="357">
        <v>110012</v>
      </c>
      <c r="C555" s="171" t="s">
        <v>272</v>
      </c>
      <c r="D555" s="372">
        <v>707750.65</v>
      </c>
      <c r="E555" s="204">
        <f>D555/60</f>
        <v>11795.844166666668</v>
      </c>
      <c r="F555" s="372">
        <v>953892</v>
      </c>
      <c r="G555" s="204">
        <f>F555/60</f>
        <v>15898.2</v>
      </c>
      <c r="H555" s="372">
        <v>1116136.94</v>
      </c>
      <c r="I555" s="204">
        <f>H555/60</f>
        <v>18602.282333333333</v>
      </c>
      <c r="J555" s="372">
        <v>995678.48999999976</v>
      </c>
      <c r="K555" s="376">
        <f>J555/60</f>
        <v>16594.641499999994</v>
      </c>
      <c r="L555" s="172">
        <v>817512.75</v>
      </c>
      <c r="M555" s="423">
        <f>L555/60</f>
        <v>13625.2125</v>
      </c>
      <c r="N555" s="176">
        <v>927112.95</v>
      </c>
      <c r="O555" s="173">
        <f>N555/60</f>
        <v>15451.8825</v>
      </c>
      <c r="P555" s="177"/>
      <c r="Q555" s="173">
        <f>P555/60</f>
        <v>0</v>
      </c>
      <c r="R555" s="176"/>
      <c r="S555" s="173">
        <f>R555/60</f>
        <v>0</v>
      </c>
      <c r="T555" s="176"/>
      <c r="U555" s="173">
        <f>T555/60</f>
        <v>0</v>
      </c>
      <c r="V555" s="176"/>
      <c r="W555" s="173">
        <f>V555/60</f>
        <v>0</v>
      </c>
      <c r="X555" s="176"/>
      <c r="Y555" s="173">
        <f>X555/60</f>
        <v>0</v>
      </c>
      <c r="Z555" s="176"/>
      <c r="AA555" s="173">
        <f>Z555/60</f>
        <v>0</v>
      </c>
      <c r="AK555" s="90"/>
    </row>
    <row r="556" spans="1:37" ht="17.399999999999999" x14ac:dyDescent="0.35">
      <c r="A556" s="511"/>
      <c r="B556" s="412">
        <v>1104111</v>
      </c>
      <c r="C556" s="413" t="s">
        <v>1015</v>
      </c>
      <c r="D556" s="372"/>
      <c r="E556" s="414"/>
      <c r="F556" s="372"/>
      <c r="G556" s="414"/>
      <c r="H556" s="372"/>
      <c r="I556" s="414"/>
      <c r="J556" s="372"/>
      <c r="K556" s="415"/>
      <c r="L556" s="416"/>
      <c r="M556" s="422"/>
      <c r="N556" s="417">
        <v>16328.2</v>
      </c>
      <c r="O556" s="184">
        <f>N556/60</f>
        <v>272.13666666666666</v>
      </c>
      <c r="P556" s="418"/>
      <c r="Q556" s="184"/>
      <c r="R556" s="417"/>
      <c r="S556" s="184"/>
      <c r="T556" s="417"/>
      <c r="U556" s="184"/>
      <c r="V556" s="417"/>
      <c r="W556" s="184"/>
      <c r="X556" s="417"/>
      <c r="Y556" s="184"/>
      <c r="Z556" s="417"/>
      <c r="AA556" s="184"/>
      <c r="AK556" s="90"/>
    </row>
    <row r="557" spans="1:37" ht="17.399999999999999" x14ac:dyDescent="0.35">
      <c r="A557" s="511"/>
      <c r="B557" s="412">
        <v>1104110</v>
      </c>
      <c r="C557" s="413" t="s">
        <v>1016</v>
      </c>
      <c r="D557" s="372"/>
      <c r="E557" s="414"/>
      <c r="F557" s="372"/>
      <c r="G557" s="414"/>
      <c r="H557" s="372"/>
      <c r="I557" s="414"/>
      <c r="J557" s="372"/>
      <c r="K557" s="415"/>
      <c r="L557" s="416"/>
      <c r="M557" s="422"/>
      <c r="N557" s="429"/>
      <c r="O557" s="184"/>
      <c r="P557" s="418"/>
      <c r="Q557" s="184"/>
      <c r="R557" s="417"/>
      <c r="S557" s="184"/>
      <c r="T557" s="417"/>
      <c r="U557" s="184"/>
      <c r="V557" s="417"/>
      <c r="W557" s="184"/>
      <c r="X557" s="417"/>
      <c r="Y557" s="184"/>
      <c r="Z557" s="417"/>
      <c r="AA557" s="184"/>
      <c r="AK557" s="90"/>
    </row>
    <row r="558" spans="1:37" ht="17.399999999999999" x14ac:dyDescent="0.35">
      <c r="A558" s="511"/>
      <c r="B558" s="412">
        <v>1104112</v>
      </c>
      <c r="C558" s="413" t="s">
        <v>1017</v>
      </c>
      <c r="D558" s="372"/>
      <c r="E558" s="414"/>
      <c r="F558" s="372"/>
      <c r="G558" s="414"/>
      <c r="H558" s="372"/>
      <c r="I558" s="414"/>
      <c r="J558" s="372"/>
      <c r="K558" s="415"/>
      <c r="L558" s="416"/>
      <c r="M558" s="422"/>
      <c r="N558" s="182"/>
      <c r="O558" s="184"/>
      <c r="P558" s="418"/>
      <c r="Q558" s="184"/>
      <c r="R558" s="417"/>
      <c r="S558" s="184"/>
      <c r="T558" s="417"/>
      <c r="U558" s="184"/>
      <c r="V558" s="417"/>
      <c r="W558" s="184"/>
      <c r="X558" s="417"/>
      <c r="Y558" s="184"/>
      <c r="Z558" s="417"/>
      <c r="AA558" s="184"/>
      <c r="AK558" s="90"/>
    </row>
    <row r="559" spans="1:37" ht="17.399999999999999" x14ac:dyDescent="0.35">
      <c r="A559" s="511"/>
      <c r="B559" s="412">
        <v>1104211</v>
      </c>
      <c r="C559" s="413" t="s">
        <v>1014</v>
      </c>
      <c r="D559" s="372"/>
      <c r="E559" s="414"/>
      <c r="F559" s="372"/>
      <c r="G559" s="414"/>
      <c r="H559" s="372"/>
      <c r="I559" s="414"/>
      <c r="J559" s="372"/>
      <c r="K559" s="415"/>
      <c r="L559" s="416"/>
      <c r="M559" s="422"/>
      <c r="N559" s="417">
        <v>32625</v>
      </c>
      <c r="O559" s="184"/>
      <c r="P559" s="418"/>
      <c r="Q559" s="184"/>
      <c r="R559" s="417"/>
      <c r="S559" s="184"/>
      <c r="T559" s="417"/>
      <c r="U559" s="184"/>
      <c r="V559" s="417"/>
      <c r="W559" s="184"/>
      <c r="X559" s="417"/>
      <c r="Y559" s="184"/>
      <c r="Z559" s="417"/>
      <c r="AA559" s="184"/>
      <c r="AK559" s="90"/>
    </row>
    <row r="560" spans="1:37" ht="17.399999999999999" x14ac:dyDescent="0.35">
      <c r="A560" s="511"/>
      <c r="B560" s="412">
        <v>1104210</v>
      </c>
      <c r="C560" s="413" t="s">
        <v>1014</v>
      </c>
      <c r="D560" s="372"/>
      <c r="E560" s="414"/>
      <c r="F560" s="372"/>
      <c r="G560" s="414"/>
      <c r="H560" s="372"/>
      <c r="I560" s="414"/>
      <c r="J560" s="372"/>
      <c r="K560" s="415"/>
      <c r="L560" s="416"/>
      <c r="M560" s="422"/>
      <c r="N560" s="417">
        <v>132794.68</v>
      </c>
      <c r="O560" s="184"/>
      <c r="P560" s="418"/>
      <c r="Q560" s="184"/>
      <c r="R560" s="417"/>
      <c r="S560" s="184"/>
      <c r="T560" s="417"/>
      <c r="U560" s="184"/>
      <c r="V560" s="417"/>
      <c r="W560" s="184"/>
      <c r="X560" s="417"/>
      <c r="Y560" s="184"/>
      <c r="Z560" s="417"/>
      <c r="AA560" s="184"/>
      <c r="AK560" s="90"/>
    </row>
    <row r="561" spans="1:37" ht="17.399999999999999" x14ac:dyDescent="0.35">
      <c r="A561" s="511"/>
      <c r="B561" s="412">
        <v>1104212</v>
      </c>
      <c r="C561" s="413" t="s">
        <v>1014</v>
      </c>
      <c r="D561" s="372"/>
      <c r="E561" s="414"/>
      <c r="F561" s="372"/>
      <c r="G561" s="414"/>
      <c r="H561" s="372"/>
      <c r="I561" s="414"/>
      <c r="J561" s="372"/>
      <c r="K561" s="415"/>
      <c r="L561" s="416"/>
      <c r="M561" s="422"/>
      <c r="N561" s="417">
        <v>17616</v>
      </c>
      <c r="O561" s="184"/>
      <c r="P561" s="418"/>
      <c r="Q561" s="184"/>
      <c r="R561" s="417"/>
      <c r="S561" s="184"/>
      <c r="T561" s="417"/>
      <c r="U561" s="184"/>
      <c r="V561" s="417"/>
      <c r="W561" s="184"/>
      <c r="X561" s="417"/>
      <c r="Y561" s="184"/>
      <c r="Z561" s="417"/>
      <c r="AA561" s="184"/>
      <c r="AK561" s="90"/>
    </row>
    <row r="562" spans="1:37" ht="17.399999999999999" x14ac:dyDescent="0.35">
      <c r="A562" s="511"/>
      <c r="B562" s="412"/>
      <c r="C562" s="413" t="s">
        <v>283</v>
      </c>
      <c r="D562" s="372"/>
      <c r="E562" s="414"/>
      <c r="F562" s="372"/>
      <c r="G562" s="414"/>
      <c r="H562" s="372"/>
      <c r="I562" s="414"/>
      <c r="J562" s="372"/>
      <c r="K562" s="415"/>
      <c r="L562" s="416"/>
      <c r="M562" s="422"/>
      <c r="N562" s="206">
        <f>SUM(N559:N561)</f>
        <v>183035.68</v>
      </c>
      <c r="O562" s="281">
        <f>N562/60</f>
        <v>3050.5946666666664</v>
      </c>
      <c r="P562" s="206">
        <f>SUM(P559:P561)</f>
        <v>0</v>
      </c>
      <c r="Q562" s="281">
        <f>P562/60</f>
        <v>0</v>
      </c>
      <c r="R562" s="206">
        <f>SUM(R559:R561)</f>
        <v>0</v>
      </c>
      <c r="S562" s="281">
        <f>R562/60</f>
        <v>0</v>
      </c>
      <c r="T562" s="206">
        <f>SUM(T559:T561)</f>
        <v>0</v>
      </c>
      <c r="U562" s="281">
        <f>T562/60</f>
        <v>0</v>
      </c>
      <c r="V562" s="206">
        <f>SUM(V559:V561)</f>
        <v>0</v>
      </c>
      <c r="W562" s="281">
        <f>V562/60</f>
        <v>0</v>
      </c>
      <c r="X562" s="206">
        <f>SUM(X559:X561)</f>
        <v>0</v>
      </c>
      <c r="Y562" s="281">
        <f>X562/60</f>
        <v>0</v>
      </c>
      <c r="Z562" s="206">
        <f>SUM(Z559:Z561)</f>
        <v>0</v>
      </c>
      <c r="AA562" s="281">
        <f>Z562/60</f>
        <v>0</v>
      </c>
      <c r="AK562" s="90"/>
    </row>
    <row r="563" spans="1:37" ht="17.399999999999999" x14ac:dyDescent="0.35">
      <c r="A563" s="511"/>
      <c r="B563" s="412">
        <v>1104200</v>
      </c>
      <c r="C563" s="413" t="s">
        <v>26</v>
      </c>
      <c r="D563" s="372"/>
      <c r="E563" s="414"/>
      <c r="F563" s="372"/>
      <c r="G563" s="414"/>
      <c r="H563" s="372"/>
      <c r="I563" s="414"/>
      <c r="J563" s="372"/>
      <c r="K563" s="415"/>
      <c r="L563" s="416"/>
      <c r="M563" s="422"/>
      <c r="N563" s="420">
        <v>91789.36</v>
      </c>
      <c r="O563" s="184">
        <f>N563/60</f>
        <v>1529.8226666666667</v>
      </c>
      <c r="P563" s="418"/>
      <c r="Q563" s="184"/>
      <c r="R563" s="417"/>
      <c r="S563" s="184"/>
      <c r="T563" s="417"/>
      <c r="U563" s="184"/>
      <c r="V563" s="417"/>
      <c r="W563" s="184"/>
      <c r="X563" s="417"/>
      <c r="Y563" s="184"/>
      <c r="Z563" s="417"/>
      <c r="AA563" s="184"/>
      <c r="AK563" s="90"/>
    </row>
    <row r="564" spans="1:37" ht="17.399999999999999" x14ac:dyDescent="0.35">
      <c r="A564" s="511"/>
      <c r="B564" s="358">
        <v>110050</v>
      </c>
      <c r="C564" s="178" t="s">
        <v>274</v>
      </c>
      <c r="D564" s="372">
        <v>95098.28</v>
      </c>
      <c r="E564" s="281">
        <f>D564/60</f>
        <v>1584.9713333333334</v>
      </c>
      <c r="F564" s="372">
        <v>142327.5</v>
      </c>
      <c r="G564" s="281">
        <f>F564/60</f>
        <v>2372.125</v>
      </c>
      <c r="H564" s="372">
        <v>150523.96</v>
      </c>
      <c r="I564" s="281">
        <f>H564/60</f>
        <v>2508.7326666666663</v>
      </c>
      <c r="J564" s="372">
        <v>134640.28000000003</v>
      </c>
      <c r="K564" s="180">
        <f>J564/60</f>
        <v>2244.0046666666672</v>
      </c>
      <c r="L564" s="179">
        <v>105169.62</v>
      </c>
      <c r="M564" s="424">
        <f>L564/60</f>
        <v>1752.827</v>
      </c>
      <c r="N564" s="182">
        <v>117567.11999999998</v>
      </c>
      <c r="O564" s="180">
        <f>N564/60</f>
        <v>1959.4519999999998</v>
      </c>
      <c r="P564" s="183"/>
      <c r="Q564" s="180">
        <f>P564/60</f>
        <v>0</v>
      </c>
      <c r="R564" s="182"/>
      <c r="S564" s="180">
        <f>R564/60</f>
        <v>0</v>
      </c>
      <c r="T564" s="182"/>
      <c r="U564" s="184">
        <f>T564/60</f>
        <v>0</v>
      </c>
      <c r="V564" s="182"/>
      <c r="W564" s="184">
        <f>V564/60</f>
        <v>0</v>
      </c>
      <c r="X564" s="182"/>
      <c r="Y564" s="184">
        <f>X564/60</f>
        <v>0</v>
      </c>
      <c r="Z564" s="182"/>
      <c r="AA564" s="184">
        <f>Z564/60</f>
        <v>0</v>
      </c>
      <c r="AK564" s="90"/>
    </row>
    <row r="565" spans="1:37" ht="17.399999999999999" x14ac:dyDescent="0.35">
      <c r="A565" s="511"/>
      <c r="B565" s="358">
        <v>110051</v>
      </c>
      <c r="C565" s="178" t="s">
        <v>276</v>
      </c>
      <c r="D565" s="372">
        <v>55925.482000000004</v>
      </c>
      <c r="E565" s="281">
        <f t="shared" ref="E565:E566" si="88">D565/60</f>
        <v>932.09136666666677</v>
      </c>
      <c r="F565" s="372">
        <v>110164.546</v>
      </c>
      <c r="G565" s="281">
        <f>F565/60</f>
        <v>1836.0757666666666</v>
      </c>
      <c r="H565" s="372">
        <v>96142.494999999995</v>
      </c>
      <c r="I565" s="281">
        <f>H565/60</f>
        <v>1602.3749166666666</v>
      </c>
      <c r="J565" s="372">
        <v>86890.055999999953</v>
      </c>
      <c r="K565" s="180">
        <f>J565/60</f>
        <v>1448.1675999999993</v>
      </c>
      <c r="L565" s="179">
        <v>55339.536</v>
      </c>
      <c r="M565" s="424">
        <f>L565/60</f>
        <v>922.32560000000001</v>
      </c>
      <c r="N565" s="182">
        <v>90048.565999999992</v>
      </c>
      <c r="O565" s="180">
        <f>N565/60</f>
        <v>1500.8094333333331</v>
      </c>
      <c r="P565" s="183"/>
      <c r="Q565" s="180">
        <f>P565/60</f>
        <v>0</v>
      </c>
      <c r="R565" s="182"/>
      <c r="S565" s="180">
        <f>R565/60</f>
        <v>0</v>
      </c>
      <c r="T565" s="182"/>
      <c r="U565" s="184">
        <f>T565/60</f>
        <v>0</v>
      </c>
      <c r="V565" s="182"/>
      <c r="W565" s="184">
        <f>V565/60</f>
        <v>0</v>
      </c>
      <c r="X565" s="182"/>
      <c r="Y565" s="184">
        <f>X565/60</f>
        <v>0</v>
      </c>
      <c r="Z565" s="182"/>
      <c r="AA565" s="184">
        <f>Z565/60</f>
        <v>0</v>
      </c>
      <c r="AK565" s="90"/>
    </row>
    <row r="566" spans="1:37" ht="17.399999999999999" x14ac:dyDescent="0.35">
      <c r="A566" s="511"/>
      <c r="B566" s="358">
        <v>110015</v>
      </c>
      <c r="C566" s="178" t="s">
        <v>278</v>
      </c>
      <c r="D566" s="372">
        <v>66273.13</v>
      </c>
      <c r="E566" s="281">
        <f t="shared" si="88"/>
        <v>1104.5521666666668</v>
      </c>
      <c r="F566" s="372">
        <v>119406.5</v>
      </c>
      <c r="G566" s="281">
        <f t="shared" ref="G566" si="89">F566/60</f>
        <v>1990.1083333333333</v>
      </c>
      <c r="H566" s="372">
        <v>137329.85</v>
      </c>
      <c r="I566" s="308"/>
      <c r="J566" s="372">
        <v>104297.36000000003</v>
      </c>
      <c r="K566" s="185"/>
      <c r="L566" s="179">
        <v>79732.549999999959</v>
      </c>
      <c r="M566" s="425"/>
      <c r="N566" s="182">
        <v>94269.630000000019</v>
      </c>
      <c r="O566" s="185"/>
      <c r="P566" s="183"/>
      <c r="Q566" s="185"/>
      <c r="R566" s="182"/>
      <c r="S566" s="185"/>
      <c r="T566" s="182"/>
      <c r="U566" s="185"/>
      <c r="V566" s="182"/>
      <c r="W566" s="185"/>
      <c r="X566" s="182"/>
      <c r="Y566" s="185"/>
      <c r="Z566" s="182"/>
      <c r="AA566" s="185"/>
      <c r="AK566" s="90"/>
    </row>
    <row r="567" spans="1:37" ht="17.399999999999999" x14ac:dyDescent="0.35">
      <c r="A567" s="511"/>
      <c r="B567" s="358">
        <v>110011</v>
      </c>
      <c r="C567" s="178" t="s">
        <v>281</v>
      </c>
      <c r="D567" s="372">
        <v>36110.400000000001</v>
      </c>
      <c r="E567" s="281">
        <f>D567/60</f>
        <v>601.84</v>
      </c>
      <c r="F567" s="372">
        <v>56314.400000000001</v>
      </c>
      <c r="G567" s="281">
        <f>F567/60</f>
        <v>938.57333333333338</v>
      </c>
      <c r="H567" s="372">
        <v>63351.4</v>
      </c>
      <c r="I567" s="308"/>
      <c r="J567" s="372">
        <v>52454.400000000009</v>
      </c>
      <c r="K567" s="185"/>
      <c r="L567" s="179">
        <v>45019.400000000023</v>
      </c>
      <c r="M567" s="425"/>
      <c r="N567" s="182">
        <v>51801.000000000022</v>
      </c>
      <c r="O567" s="185"/>
      <c r="P567" s="183"/>
      <c r="Q567" s="185"/>
      <c r="R567" s="182"/>
      <c r="S567" s="185"/>
      <c r="T567" s="182"/>
      <c r="U567" s="185"/>
      <c r="V567" s="182"/>
      <c r="W567" s="185"/>
      <c r="X567" s="182"/>
      <c r="Y567" s="185"/>
      <c r="Z567" s="182"/>
      <c r="AA567" s="185"/>
      <c r="AK567" s="90"/>
    </row>
    <row r="568" spans="1:37" ht="17.399999999999999" x14ac:dyDescent="0.35">
      <c r="A568" s="511"/>
      <c r="B568" s="358"/>
      <c r="C568" s="178" t="s">
        <v>283</v>
      </c>
      <c r="D568" s="206">
        <f>SUM(D566:D567)</f>
        <v>102383.53</v>
      </c>
      <c r="E568" s="281">
        <f>D568/60</f>
        <v>1706.3921666666668</v>
      </c>
      <c r="F568" s="206">
        <v>175720.9</v>
      </c>
      <c r="G568" s="281">
        <v>2928.6816666666664</v>
      </c>
      <c r="H568" s="206">
        <f>SUM(H566:H567)</f>
        <v>200681.25</v>
      </c>
      <c r="I568" s="281">
        <f>H568/60</f>
        <v>3344.6875</v>
      </c>
      <c r="J568" s="206">
        <f>SUM(J566:J567)</f>
        <v>156751.76000000004</v>
      </c>
      <c r="K568" s="180">
        <f t="shared" ref="K568" si="90">J568/60</f>
        <v>2612.5293333333339</v>
      </c>
      <c r="L568" s="206">
        <f>SUM(L566:L567)</f>
        <v>124751.94999999998</v>
      </c>
      <c r="M568" s="424">
        <f t="shared" ref="M568:M576" si="91">L568/60</f>
        <v>2079.1991666666663</v>
      </c>
      <c r="N568" s="206">
        <f>SUM(N566:N567)</f>
        <v>146070.63000000003</v>
      </c>
      <c r="O568" s="180">
        <f t="shared" ref="O568" si="92">N568/60</f>
        <v>2434.5105000000008</v>
      </c>
      <c r="P568" s="206">
        <f>SUM(P566:P567)</f>
        <v>0</v>
      </c>
      <c r="Q568" s="180">
        <f t="shared" ref="Q568" si="93">P568/60</f>
        <v>0</v>
      </c>
      <c r="R568" s="206">
        <f>SUM(R566:R567)</f>
        <v>0</v>
      </c>
      <c r="S568" s="180">
        <f t="shared" ref="S568" si="94">R568/60</f>
        <v>0</v>
      </c>
      <c r="T568" s="206">
        <f>SUM(T566:T567)</f>
        <v>0</v>
      </c>
      <c r="U568" s="180">
        <f t="shared" ref="U568" si="95">T568/60</f>
        <v>0</v>
      </c>
      <c r="V568" s="206">
        <f>SUM(V566:V567)</f>
        <v>0</v>
      </c>
      <c r="W568" s="180">
        <f t="shared" ref="W568" si="96">V568/60</f>
        <v>0</v>
      </c>
      <c r="X568" s="206">
        <f>SUM(X566:X567)</f>
        <v>0</v>
      </c>
      <c r="Y568" s="180">
        <f t="shared" ref="Y568" si="97">X568/60</f>
        <v>0</v>
      </c>
      <c r="Z568" s="206">
        <f>SUM(Z566:Z567)</f>
        <v>0</v>
      </c>
      <c r="AA568" s="180">
        <f t="shared" ref="AA568" si="98">Z568/60</f>
        <v>0</v>
      </c>
      <c r="AK568" s="90"/>
    </row>
    <row r="569" spans="1:37" ht="17.399999999999999" x14ac:dyDescent="0.35">
      <c r="A569" s="511"/>
      <c r="B569" s="358">
        <v>1103620</v>
      </c>
      <c r="C569" s="178" t="s">
        <v>19</v>
      </c>
      <c r="D569" s="206"/>
      <c r="E569" s="281"/>
      <c r="F569" s="206"/>
      <c r="G569" s="281"/>
      <c r="H569" s="206"/>
      <c r="I569" s="281"/>
      <c r="J569" s="206"/>
      <c r="K569" s="180"/>
      <c r="L569" s="206"/>
      <c r="M569" s="424"/>
      <c r="N569" s="179"/>
      <c r="O569" s="180"/>
      <c r="P569" s="187"/>
      <c r="Q569" s="180"/>
      <c r="R569" s="187"/>
      <c r="S569" s="180"/>
      <c r="T569" s="187"/>
      <c r="U569" s="180"/>
      <c r="V569" s="187"/>
      <c r="W569" s="180"/>
      <c r="X569" s="187"/>
      <c r="Y569" s="180"/>
      <c r="Z569" s="187"/>
      <c r="AA569" s="180"/>
      <c r="AK569" s="90"/>
    </row>
    <row r="570" spans="1:37" ht="17.399999999999999" x14ac:dyDescent="0.35">
      <c r="A570" s="511"/>
      <c r="B570" s="358">
        <v>1104100</v>
      </c>
      <c r="C570" s="178" t="s">
        <v>19</v>
      </c>
      <c r="D570" s="206"/>
      <c r="E570" s="281"/>
      <c r="F570" s="206"/>
      <c r="G570" s="281"/>
      <c r="H570" s="206"/>
      <c r="I570" s="281"/>
      <c r="J570" s="206"/>
      <c r="K570" s="180"/>
      <c r="L570" s="206"/>
      <c r="M570" s="424"/>
      <c r="N570" s="179">
        <v>116230.9040000005</v>
      </c>
      <c r="O570" s="180"/>
      <c r="P570" s="187"/>
      <c r="Q570" s="180"/>
      <c r="R570" s="187"/>
      <c r="S570" s="180"/>
      <c r="T570" s="187"/>
      <c r="U570" s="180"/>
      <c r="V570" s="187"/>
      <c r="W570" s="180"/>
      <c r="X570" s="187"/>
      <c r="Y570" s="180"/>
      <c r="Z570" s="187"/>
      <c r="AA570" s="180"/>
      <c r="AK570" s="90"/>
    </row>
    <row r="571" spans="1:37" ht="17.399999999999999" x14ac:dyDescent="0.35">
      <c r="A571" s="511"/>
      <c r="B571" s="358"/>
      <c r="C571" s="178" t="s">
        <v>283</v>
      </c>
      <c r="D571" s="206"/>
      <c r="E571" s="281"/>
      <c r="F571" s="206"/>
      <c r="G571" s="281"/>
      <c r="H571" s="206"/>
      <c r="I571" s="281"/>
      <c r="J571" s="206"/>
      <c r="K571" s="180"/>
      <c r="L571" s="206"/>
      <c r="M571" s="424"/>
      <c r="N571" s="206">
        <f>SUM(N569:N570)</f>
        <v>116230.9040000005</v>
      </c>
      <c r="O571" s="180">
        <f t="shared" ref="O571" si="99">N571/60</f>
        <v>1937.1817333333418</v>
      </c>
      <c r="P571" s="206">
        <f>SUM(P569:P570)</f>
        <v>0</v>
      </c>
      <c r="Q571" s="180">
        <f t="shared" ref="Q571" si="100">P571/60</f>
        <v>0</v>
      </c>
      <c r="R571" s="206">
        <f>SUM(R569:R570)</f>
        <v>0</v>
      </c>
      <c r="S571" s="180">
        <f t="shared" ref="S571" si="101">R571/60</f>
        <v>0</v>
      </c>
      <c r="T571" s="206">
        <f>SUM(T569:T570)</f>
        <v>0</v>
      </c>
      <c r="U571" s="180">
        <f t="shared" ref="U571" si="102">T571/60</f>
        <v>0</v>
      </c>
      <c r="V571" s="206">
        <f>SUM(V569:V570)</f>
        <v>0</v>
      </c>
      <c r="W571" s="180">
        <f t="shared" ref="W571" si="103">V571/60</f>
        <v>0</v>
      </c>
      <c r="X571" s="206">
        <f>SUM(X569:X570)</f>
        <v>0</v>
      </c>
      <c r="Y571" s="180">
        <f t="shared" ref="Y571" si="104">X571/60</f>
        <v>0</v>
      </c>
      <c r="Z571" s="206">
        <f>SUM(Z569:Z570)</f>
        <v>0</v>
      </c>
      <c r="AA571" s="180">
        <f t="shared" ref="AA571" si="105">Z571/60</f>
        <v>0</v>
      </c>
      <c r="AK571" s="90"/>
    </row>
    <row r="572" spans="1:37" ht="17.399999999999999" x14ac:dyDescent="0.35">
      <c r="A572" s="511"/>
      <c r="B572" s="358">
        <v>110030</v>
      </c>
      <c r="C572" s="188" t="s">
        <v>285</v>
      </c>
      <c r="D572" s="372">
        <v>74921.38</v>
      </c>
      <c r="E572" s="205">
        <f t="shared" ref="E572:E576" si="106">D572/60</f>
        <v>1248.6896666666667</v>
      </c>
      <c r="F572" s="372">
        <v>61195.6</v>
      </c>
      <c r="G572" s="205">
        <f>F572/60</f>
        <v>1019.9266666666666</v>
      </c>
      <c r="H572" s="372">
        <v>60659.64</v>
      </c>
      <c r="I572" s="205">
        <f t="shared" ref="I572:I576" si="107">H572/60</f>
        <v>1010.994</v>
      </c>
      <c r="J572" s="372">
        <v>55162.520000000004</v>
      </c>
      <c r="K572" s="205">
        <f>J572/60</f>
        <v>919.3753333333334</v>
      </c>
      <c r="L572" s="179">
        <v>26240.46</v>
      </c>
      <c r="M572" s="426">
        <f t="shared" si="91"/>
        <v>437.34100000000001</v>
      </c>
      <c r="N572" s="182">
        <v>60933.45</v>
      </c>
      <c r="O572" s="189">
        <f>N572/60</f>
        <v>1015.5575</v>
      </c>
      <c r="P572" s="183"/>
      <c r="Q572" s="189">
        <f t="shared" ref="Q572:Q576" si="108">P572/60</f>
        <v>0</v>
      </c>
      <c r="R572" s="182"/>
      <c r="S572" s="189">
        <f t="shared" ref="S572:S576" si="109">R572/60</f>
        <v>0</v>
      </c>
      <c r="T572" s="182"/>
      <c r="U572" s="189">
        <f t="shared" ref="U572:U576" si="110">T572/60</f>
        <v>0</v>
      </c>
      <c r="V572" s="182"/>
      <c r="W572" s="189">
        <f t="shared" ref="W572:W576" si="111">V572/60</f>
        <v>0</v>
      </c>
      <c r="X572" s="182"/>
      <c r="Y572" s="189">
        <f t="shared" ref="Y572:Y576" si="112">X572/60</f>
        <v>0</v>
      </c>
      <c r="Z572" s="187"/>
      <c r="AA572" s="189">
        <f t="shared" ref="AA572:AA576" si="113">Z572/60</f>
        <v>0</v>
      </c>
      <c r="AK572" s="90"/>
    </row>
    <row r="573" spans="1:37" ht="17.399999999999999" x14ac:dyDescent="0.35">
      <c r="A573" s="511"/>
      <c r="B573" s="358">
        <v>110100</v>
      </c>
      <c r="C573" s="188" t="s">
        <v>287</v>
      </c>
      <c r="D573" s="372">
        <v>125435</v>
      </c>
      <c r="E573" s="205">
        <f t="shared" si="106"/>
        <v>2090.5833333333335</v>
      </c>
      <c r="F573" s="372">
        <v>186939</v>
      </c>
      <c r="G573" s="205">
        <f t="shared" ref="G573:G576" si="114">F573/60</f>
        <v>3115.65</v>
      </c>
      <c r="H573" s="372">
        <v>210877</v>
      </c>
      <c r="I573" s="205">
        <f t="shared" si="107"/>
        <v>3514.6166666666668</v>
      </c>
      <c r="J573" s="372">
        <v>187053</v>
      </c>
      <c r="K573" s="189">
        <f t="shared" ref="K573:K576" si="115">J573/60</f>
        <v>3117.55</v>
      </c>
      <c r="L573" s="179">
        <v>177392</v>
      </c>
      <c r="M573" s="426">
        <f t="shared" si="91"/>
        <v>2956.5333333333333</v>
      </c>
      <c r="N573" s="182">
        <v>209404</v>
      </c>
      <c r="O573" s="189">
        <f>N573/60</f>
        <v>3490.0666666666666</v>
      </c>
      <c r="P573" s="183"/>
      <c r="Q573" s="189">
        <f t="shared" si="108"/>
        <v>0</v>
      </c>
      <c r="R573" s="182"/>
      <c r="S573" s="189">
        <f t="shared" si="109"/>
        <v>0</v>
      </c>
      <c r="T573" s="182"/>
      <c r="U573" s="189">
        <f t="shared" si="110"/>
        <v>0</v>
      </c>
      <c r="V573" s="182"/>
      <c r="W573" s="189">
        <f t="shared" si="111"/>
        <v>0</v>
      </c>
      <c r="X573" s="182"/>
      <c r="Y573" s="189">
        <f t="shared" si="112"/>
        <v>0</v>
      </c>
      <c r="Z573" s="182"/>
      <c r="AA573" s="189">
        <f t="shared" si="113"/>
        <v>0</v>
      </c>
      <c r="AK573" s="90"/>
    </row>
    <row r="574" spans="1:37" ht="17.399999999999999" x14ac:dyDescent="0.35">
      <c r="A574" s="511"/>
      <c r="B574" s="358">
        <v>110110</v>
      </c>
      <c r="C574" s="190" t="s">
        <v>289</v>
      </c>
      <c r="D574" s="372">
        <v>291894</v>
      </c>
      <c r="E574" s="205">
        <f t="shared" si="106"/>
        <v>4864.8999999999996</v>
      </c>
      <c r="F574" s="372">
        <v>468510</v>
      </c>
      <c r="G574" s="205">
        <f t="shared" si="114"/>
        <v>7808.5</v>
      </c>
      <c r="H574" s="372">
        <v>561192</v>
      </c>
      <c r="I574" s="309">
        <f t="shared" si="107"/>
        <v>9353.2000000000007</v>
      </c>
      <c r="J574" s="372">
        <v>491073</v>
      </c>
      <c r="K574" s="193">
        <f t="shared" si="115"/>
        <v>8184.55</v>
      </c>
      <c r="L574" s="192">
        <v>389975</v>
      </c>
      <c r="M574" s="427">
        <f t="shared" si="91"/>
        <v>6499.583333333333</v>
      </c>
      <c r="N574" s="191">
        <v>479958</v>
      </c>
      <c r="O574" s="193">
        <f>N574/60</f>
        <v>7999.3</v>
      </c>
      <c r="P574" s="195"/>
      <c r="Q574" s="193">
        <f t="shared" si="108"/>
        <v>0</v>
      </c>
      <c r="R574" s="191"/>
      <c r="S574" s="193">
        <f t="shared" si="109"/>
        <v>0</v>
      </c>
      <c r="T574" s="191"/>
      <c r="U574" s="193">
        <f t="shared" si="110"/>
        <v>0</v>
      </c>
      <c r="V574" s="191"/>
      <c r="W574" s="193">
        <f t="shared" si="111"/>
        <v>0</v>
      </c>
      <c r="X574" s="191"/>
      <c r="Y574" s="193">
        <f t="shared" si="112"/>
        <v>0</v>
      </c>
      <c r="Z574" s="191"/>
      <c r="AA574" s="193">
        <f t="shared" si="113"/>
        <v>0</v>
      </c>
      <c r="AK574" s="90"/>
    </row>
    <row r="575" spans="1:37" ht="17.399999999999999" x14ac:dyDescent="0.35">
      <c r="A575" s="511"/>
      <c r="B575" s="358">
        <v>110060</v>
      </c>
      <c r="C575" s="190" t="s">
        <v>291</v>
      </c>
      <c r="D575" s="372">
        <v>31265.64</v>
      </c>
      <c r="E575" s="205">
        <f t="shared" si="106"/>
        <v>521.09399999999994</v>
      </c>
      <c r="F575" s="372">
        <v>51495.199999999997</v>
      </c>
      <c r="G575" s="205">
        <f t="shared" si="114"/>
        <v>858.25333333333333</v>
      </c>
      <c r="H575" s="372">
        <v>61745.94</v>
      </c>
      <c r="I575" s="309">
        <f t="shared" si="107"/>
        <v>1029.0989999999999</v>
      </c>
      <c r="J575" s="372">
        <v>44311.280000000021</v>
      </c>
      <c r="K575" s="193">
        <f t="shared" si="115"/>
        <v>738.5213333333337</v>
      </c>
      <c r="L575" s="179">
        <v>40948.400000000009</v>
      </c>
      <c r="M575" s="427">
        <f t="shared" si="91"/>
        <v>682.47333333333347</v>
      </c>
      <c r="N575" s="179">
        <v>47734.840000000026</v>
      </c>
      <c r="O575" s="193">
        <f>N575/60</f>
        <v>795.58066666666707</v>
      </c>
      <c r="P575" s="187"/>
      <c r="Q575" s="193">
        <f t="shared" si="108"/>
        <v>0</v>
      </c>
      <c r="R575" s="343"/>
      <c r="S575" s="193">
        <f t="shared" si="109"/>
        <v>0</v>
      </c>
      <c r="T575" s="349"/>
      <c r="U575" s="193">
        <f t="shared" si="110"/>
        <v>0</v>
      </c>
      <c r="V575" s="343"/>
      <c r="W575" s="193">
        <f t="shared" si="111"/>
        <v>0</v>
      </c>
      <c r="X575" s="359"/>
      <c r="Y575" s="360">
        <f t="shared" si="112"/>
        <v>0</v>
      </c>
      <c r="Z575" s="359"/>
      <c r="AA575" s="189">
        <f t="shared" si="113"/>
        <v>0</v>
      </c>
      <c r="AK575" s="90"/>
    </row>
    <row r="576" spans="1:37" ht="18" thickBot="1" x14ac:dyDescent="0.4">
      <c r="A576" s="511"/>
      <c r="B576" s="361">
        <v>110111</v>
      </c>
      <c r="C576" s="371" t="s">
        <v>292</v>
      </c>
      <c r="D576" s="373">
        <v>70826</v>
      </c>
      <c r="E576" s="310">
        <f t="shared" si="106"/>
        <v>1180.4333333333334</v>
      </c>
      <c r="F576" s="373">
        <v>74846</v>
      </c>
      <c r="G576" s="310">
        <f t="shared" si="114"/>
        <v>1247.4333333333334</v>
      </c>
      <c r="H576" s="373">
        <v>117541</v>
      </c>
      <c r="I576" s="310">
        <f t="shared" si="107"/>
        <v>1959.0166666666667</v>
      </c>
      <c r="J576" s="373">
        <v>91449</v>
      </c>
      <c r="K576" s="198">
        <f t="shared" si="115"/>
        <v>1524.15</v>
      </c>
      <c r="L576" s="197">
        <v>90315</v>
      </c>
      <c r="M576" s="428">
        <f t="shared" si="91"/>
        <v>1505.25</v>
      </c>
      <c r="N576" s="197">
        <v>125456</v>
      </c>
      <c r="O576" s="198">
        <f>N576/60</f>
        <v>2090.9333333333334</v>
      </c>
      <c r="P576" s="199"/>
      <c r="Q576" s="198">
        <f t="shared" si="108"/>
        <v>0</v>
      </c>
      <c r="R576" s="200"/>
      <c r="S576" s="198">
        <f t="shared" si="109"/>
        <v>0</v>
      </c>
      <c r="T576" s="201"/>
      <c r="U576" s="198">
        <f t="shared" si="110"/>
        <v>0</v>
      </c>
      <c r="V576" s="200"/>
      <c r="W576" s="198">
        <f t="shared" si="111"/>
        <v>0</v>
      </c>
      <c r="X576" s="200"/>
      <c r="Y576" s="202">
        <f t="shared" si="112"/>
        <v>0</v>
      </c>
      <c r="Z576" s="200"/>
      <c r="AA576" s="198">
        <f t="shared" si="113"/>
        <v>0</v>
      </c>
      <c r="AK576" s="90"/>
    </row>
    <row r="577" spans="1:37" x14ac:dyDescent="0.3">
      <c r="A577" s="511"/>
      <c r="B577" s="93"/>
      <c r="C577" s="93"/>
      <c r="D577" s="93"/>
      <c r="E577" s="93"/>
      <c r="F577" s="286"/>
      <c r="G577" s="93"/>
      <c r="H577" s="208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252"/>
      <c r="U577" s="93"/>
      <c r="V577" s="93"/>
      <c r="W577" s="93"/>
      <c r="X577" s="93"/>
      <c r="Y577" s="93"/>
      <c r="Z577" s="93"/>
      <c r="AA577" s="93"/>
      <c r="AK577" s="90"/>
    </row>
    <row r="578" spans="1:37" x14ac:dyDescent="0.3">
      <c r="A578" s="511"/>
      <c r="B578" s="93"/>
      <c r="C578" s="93"/>
      <c r="D578" s="93"/>
      <c r="E578" s="93"/>
      <c r="F578" s="286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252"/>
      <c r="U578" s="93"/>
      <c r="V578" s="93"/>
      <c r="W578" s="93"/>
      <c r="X578" s="93"/>
      <c r="Y578" s="93"/>
      <c r="Z578" s="93"/>
      <c r="AA578" s="93"/>
      <c r="AK578" s="90"/>
    </row>
    <row r="579" spans="1:37" x14ac:dyDescent="0.3">
      <c r="A579" s="511"/>
      <c r="B579" s="93"/>
      <c r="F579" s="90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252"/>
      <c r="U579" s="93"/>
      <c r="V579" s="93"/>
      <c r="W579" s="93"/>
      <c r="X579" s="93"/>
      <c r="Y579" s="93"/>
      <c r="Z579" s="93"/>
      <c r="AA579" s="93"/>
      <c r="AK579" s="90"/>
    </row>
    <row r="580" spans="1:37" x14ac:dyDescent="0.3">
      <c r="A580" s="511"/>
      <c r="B580" s="93"/>
      <c r="F580" s="369"/>
      <c r="G580" s="419"/>
      <c r="H580" s="252"/>
      <c r="I580" s="93"/>
      <c r="J580" s="379"/>
      <c r="K580" s="380"/>
      <c r="L580" s="93"/>
      <c r="M580" s="93"/>
      <c r="N580" s="93"/>
      <c r="O580" s="93"/>
      <c r="P580" s="93"/>
      <c r="Q580" s="93"/>
      <c r="R580" s="93"/>
      <c r="S580" s="93"/>
      <c r="T580" s="252"/>
      <c r="U580" s="93"/>
      <c r="V580" s="379"/>
      <c r="W580" s="380"/>
      <c r="X580" s="93"/>
      <c r="Y580" s="93"/>
      <c r="Z580" s="93"/>
      <c r="AA580" s="93"/>
      <c r="AK580" s="90"/>
    </row>
    <row r="581" spans="1:37" x14ac:dyDescent="0.3">
      <c r="A581" s="511"/>
      <c r="B581" s="93"/>
      <c r="F581" s="369"/>
      <c r="G581" s="419"/>
      <c r="H581" s="252"/>
      <c r="I581" s="93"/>
      <c r="M581" s="301"/>
      <c r="O581" s="302"/>
      <c r="Q581" s="93"/>
      <c r="R581" s="93"/>
      <c r="S581" s="93"/>
      <c r="T581" s="252"/>
      <c r="U581" s="93"/>
      <c r="V581" s="379"/>
      <c r="W581" s="380"/>
      <c r="X581" s="93"/>
      <c r="Y581" s="93"/>
      <c r="Z581" s="93"/>
      <c r="AA581" s="93"/>
      <c r="AK581" s="90"/>
    </row>
    <row r="582" spans="1:37" x14ac:dyDescent="0.3">
      <c r="A582" s="511"/>
      <c r="B582" s="93"/>
      <c r="F582" s="369"/>
      <c r="G582" s="419"/>
      <c r="H582" s="252"/>
      <c r="M582" s="301"/>
      <c r="Q582" s="93"/>
      <c r="R582" s="93"/>
      <c r="S582" s="93"/>
      <c r="T582" s="252"/>
      <c r="U582" s="93"/>
      <c r="V582" s="379"/>
      <c r="W582" s="380"/>
      <c r="X582" s="93"/>
      <c r="Y582" s="93"/>
      <c r="Z582" s="93"/>
      <c r="AA582" s="93"/>
      <c r="AK582" s="90"/>
    </row>
    <row r="583" spans="1:37" x14ac:dyDescent="0.3">
      <c r="A583" s="511"/>
      <c r="B583" s="93"/>
      <c r="F583" s="369"/>
      <c r="G583" s="419"/>
      <c r="H583" s="252"/>
      <c r="I583" s="93"/>
      <c r="M583" s="301"/>
      <c r="Q583" s="93"/>
      <c r="R583" s="93"/>
      <c r="S583" s="93"/>
      <c r="T583" s="93"/>
      <c r="U583" s="93"/>
      <c r="V583" s="379"/>
      <c r="W583" s="380"/>
      <c r="X583" s="93"/>
      <c r="Y583" s="93"/>
      <c r="Z583" s="93"/>
      <c r="AA583" s="93"/>
      <c r="AK583" s="90"/>
    </row>
    <row r="584" spans="1:37" x14ac:dyDescent="0.3">
      <c r="A584" s="511"/>
      <c r="B584" s="93"/>
      <c r="F584" s="369"/>
      <c r="G584" s="419"/>
      <c r="H584" s="252"/>
      <c r="I584" s="93"/>
      <c r="M584" s="301"/>
      <c r="Q584" s="93"/>
      <c r="R584" s="93"/>
      <c r="S584" s="93"/>
      <c r="T584" s="93"/>
      <c r="U584" s="93"/>
      <c r="V584" s="379"/>
      <c r="W584" s="380"/>
      <c r="X584" s="93"/>
      <c r="Y584" s="93"/>
      <c r="Z584" s="93"/>
      <c r="AA584" s="93"/>
      <c r="AK584" s="90"/>
    </row>
    <row r="585" spans="1:37" x14ac:dyDescent="0.3">
      <c r="A585" s="511"/>
      <c r="B585" s="93"/>
      <c r="F585" s="369"/>
      <c r="G585" s="419"/>
      <c r="H585" s="252"/>
      <c r="J585" s="370"/>
      <c r="K585" s="93"/>
      <c r="L585" s="93"/>
      <c r="M585" s="301"/>
      <c r="O585" s="302"/>
      <c r="Q585" s="93"/>
      <c r="R585" s="93"/>
      <c r="S585" s="93"/>
      <c r="T585" s="93"/>
      <c r="U585" s="93"/>
      <c r="V585" s="379"/>
      <c r="W585" s="380"/>
      <c r="X585" s="93"/>
      <c r="Y585" s="93"/>
      <c r="Z585" s="93"/>
      <c r="AA585" s="93"/>
      <c r="AK585" s="90"/>
    </row>
    <row r="586" spans="1:37" x14ac:dyDescent="0.3">
      <c r="A586" s="511"/>
      <c r="B586" s="93"/>
      <c r="F586" s="369"/>
      <c r="G586" s="419"/>
      <c r="H586" s="252"/>
      <c r="I586" s="93"/>
      <c r="L586" s="93"/>
      <c r="M586" s="301"/>
      <c r="O586" s="302"/>
      <c r="Q586" s="93"/>
      <c r="R586" s="93"/>
      <c r="S586" s="93"/>
      <c r="T586" s="93"/>
      <c r="U586" s="93"/>
      <c r="V586" s="379"/>
      <c r="W586" s="380"/>
      <c r="X586" s="93"/>
      <c r="Y586" s="93"/>
      <c r="Z586" s="93"/>
      <c r="AA586" s="93"/>
      <c r="AK586" s="90"/>
    </row>
    <row r="587" spans="1:37" x14ac:dyDescent="0.3">
      <c r="A587" s="511"/>
      <c r="B587" s="93"/>
      <c r="F587" s="369"/>
      <c r="G587" s="419"/>
      <c r="H587" s="252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K587" s="90"/>
    </row>
    <row r="588" spans="1:37" x14ac:dyDescent="0.3">
      <c r="A588" s="511"/>
      <c r="B588" s="93"/>
      <c r="F588" s="90"/>
      <c r="H588" s="302"/>
      <c r="L588" s="93"/>
      <c r="M588" s="93"/>
      <c r="N588" s="93"/>
      <c r="O588" s="252"/>
      <c r="P588" s="379"/>
      <c r="Q588" s="380"/>
      <c r="R588" s="93"/>
      <c r="S588" s="380"/>
      <c r="T588" s="93"/>
      <c r="U588" s="93"/>
      <c r="V588" s="93"/>
      <c r="W588" s="93"/>
      <c r="X588" s="93"/>
      <c r="Y588" s="93"/>
      <c r="Z588" s="93"/>
      <c r="AA588" s="93"/>
      <c r="AK588" s="90"/>
    </row>
    <row r="589" spans="1:37" x14ac:dyDescent="0.3">
      <c r="A589" s="511"/>
      <c r="B589" s="93"/>
      <c r="F589" s="369"/>
      <c r="G589" s="419"/>
      <c r="H589" s="252"/>
      <c r="I589" s="93"/>
      <c r="L589" s="93"/>
      <c r="M589" s="93"/>
      <c r="N589" s="93"/>
      <c r="O589" s="93"/>
      <c r="P589" s="379"/>
      <c r="Q589" s="380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K589" s="90"/>
    </row>
    <row r="590" spans="1:37" x14ac:dyDescent="0.3">
      <c r="A590" s="511"/>
      <c r="B590" s="93"/>
      <c r="F590" s="369"/>
      <c r="G590" s="419"/>
      <c r="H590" s="252"/>
      <c r="I590" s="93"/>
      <c r="L590" s="93"/>
      <c r="N590" s="93"/>
      <c r="O590" s="93"/>
      <c r="P590" s="379"/>
      <c r="Q590" s="380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K590" s="90"/>
    </row>
    <row r="591" spans="1:37" x14ac:dyDescent="0.3">
      <c r="A591" s="511"/>
      <c r="B591" s="93"/>
      <c r="F591" s="369"/>
      <c r="G591" s="419"/>
      <c r="H591" s="252"/>
      <c r="I591" s="93"/>
      <c r="L591" s="93"/>
      <c r="N591" s="93"/>
      <c r="O591" s="93"/>
      <c r="P591" s="379"/>
      <c r="Q591" s="380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K591" s="90"/>
    </row>
    <row r="592" spans="1:37" x14ac:dyDescent="0.3">
      <c r="A592" s="511"/>
      <c r="B592" s="93"/>
      <c r="F592" s="369"/>
      <c r="G592" s="419"/>
      <c r="H592" s="252"/>
      <c r="I592" s="93"/>
      <c r="L592" s="93"/>
      <c r="O592" s="93"/>
      <c r="P592" s="379"/>
      <c r="Q592" s="380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K592" s="90"/>
    </row>
    <row r="593" spans="1:38" x14ac:dyDescent="0.3">
      <c r="A593" s="511"/>
      <c r="B593" s="93"/>
      <c r="F593" s="369"/>
      <c r="G593" s="419"/>
      <c r="H593" s="252"/>
      <c r="I593" s="93"/>
      <c r="L593" s="93"/>
      <c r="O593" s="93"/>
      <c r="P593" s="379"/>
      <c r="Q593" s="380"/>
      <c r="R593" s="93"/>
      <c r="S593" s="380"/>
      <c r="T593" s="93"/>
      <c r="U593" s="93"/>
      <c r="V593" s="380"/>
      <c r="W593" s="93"/>
      <c r="X593" s="93"/>
      <c r="Y593" s="93"/>
      <c r="Z593" s="93"/>
      <c r="AA593" s="93"/>
      <c r="AK593" s="90"/>
    </row>
    <row r="594" spans="1:38" x14ac:dyDescent="0.3">
      <c r="A594" s="511"/>
      <c r="B594" s="93"/>
      <c r="F594" s="369"/>
      <c r="G594" s="419"/>
      <c r="H594" s="252"/>
      <c r="I594" s="93"/>
      <c r="L594" s="93"/>
      <c r="N594" s="93"/>
      <c r="O594" s="93"/>
      <c r="P594" s="379"/>
      <c r="Q594" s="380"/>
      <c r="R594" s="93"/>
      <c r="S594" s="380"/>
      <c r="T594" s="93"/>
      <c r="U594" s="93"/>
      <c r="V594" s="380"/>
      <c r="W594" s="93"/>
      <c r="X594" s="93"/>
      <c r="Y594" s="93"/>
      <c r="Z594" s="93"/>
      <c r="AA594" s="93"/>
      <c r="AK594" s="90"/>
    </row>
    <row r="595" spans="1:38" x14ac:dyDescent="0.3">
      <c r="A595" s="511"/>
      <c r="B595" s="93"/>
      <c r="C595" s="93"/>
      <c r="D595" s="93"/>
      <c r="E595" s="93"/>
      <c r="F595" s="369"/>
      <c r="G595" s="419"/>
      <c r="H595" s="252"/>
      <c r="I595" s="93"/>
      <c r="L595" s="93"/>
      <c r="P595" s="379"/>
      <c r="Q595" s="380"/>
      <c r="R595" s="93"/>
      <c r="S595" s="93"/>
      <c r="T595" s="93"/>
      <c r="U595" s="93"/>
      <c r="V595" s="380"/>
      <c r="W595" s="93"/>
      <c r="X595" s="93"/>
      <c r="Y595" s="93"/>
      <c r="Z595" s="93"/>
      <c r="AA595" s="93"/>
      <c r="AK595" s="90"/>
    </row>
    <row r="596" spans="1:38" x14ac:dyDescent="0.3">
      <c r="A596" s="511"/>
      <c r="B596" s="93"/>
      <c r="C596" s="93"/>
      <c r="D596" s="93"/>
      <c r="E596" s="93"/>
      <c r="F596" s="286"/>
      <c r="G596" s="93"/>
      <c r="H596" s="252"/>
      <c r="I596" s="93"/>
      <c r="J596" s="93"/>
      <c r="K596" s="93"/>
      <c r="L596" s="93"/>
      <c r="P596" s="379"/>
      <c r="Q596" s="380"/>
      <c r="R596" s="93"/>
      <c r="S596" s="93"/>
      <c r="T596" s="93"/>
      <c r="U596" s="93"/>
      <c r="V596" s="380"/>
      <c r="W596" s="93"/>
      <c r="X596" s="93"/>
      <c r="Y596" s="93"/>
      <c r="Z596" s="93"/>
      <c r="AA596" s="93"/>
      <c r="AK596" s="90"/>
    </row>
    <row r="597" spans="1:38" x14ac:dyDescent="0.3">
      <c r="A597" s="511"/>
      <c r="B597" s="93"/>
      <c r="C597" s="93"/>
      <c r="D597" s="93"/>
      <c r="E597" s="93"/>
      <c r="F597" s="90"/>
      <c r="H597" s="302"/>
      <c r="I597" s="93"/>
      <c r="J597" s="93"/>
      <c r="K597" s="93"/>
      <c r="L597" s="93"/>
      <c r="P597" s="379"/>
      <c r="Q597" s="380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K597" s="90"/>
    </row>
    <row r="598" spans="1:38" x14ac:dyDescent="0.3">
      <c r="A598" s="511"/>
      <c r="B598" s="93"/>
      <c r="C598" s="93"/>
      <c r="D598" s="93"/>
      <c r="E598" s="93"/>
      <c r="F598" s="90"/>
      <c r="H598" s="302"/>
      <c r="I598" s="93"/>
      <c r="J598" s="93"/>
      <c r="K598" s="93"/>
      <c r="L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K598" s="90"/>
    </row>
    <row r="599" spans="1:38" x14ac:dyDescent="0.3">
      <c r="A599" s="511"/>
      <c r="B599" s="93"/>
      <c r="C599" s="93"/>
      <c r="D599" s="93"/>
      <c r="E599" s="93"/>
      <c r="F599" s="90"/>
      <c r="H599" s="302"/>
      <c r="I599" s="93"/>
      <c r="J599" s="93"/>
      <c r="K599" s="93"/>
      <c r="L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K599" s="90"/>
    </row>
    <row r="600" spans="1:38" x14ac:dyDescent="0.3">
      <c r="A600" s="511"/>
      <c r="B600" s="93"/>
      <c r="C600" s="93"/>
      <c r="D600" s="93"/>
      <c r="E600" s="93"/>
      <c r="F600" s="90"/>
      <c r="H600" s="302"/>
      <c r="I600" s="93"/>
      <c r="J600" s="93"/>
      <c r="K600" s="93"/>
      <c r="L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K600" s="90"/>
    </row>
    <row r="601" spans="1:38" x14ac:dyDescent="0.3">
      <c r="A601" s="511"/>
      <c r="B601" s="93"/>
      <c r="C601" s="93"/>
      <c r="D601" s="93"/>
      <c r="E601" s="93"/>
      <c r="F601" s="286"/>
      <c r="G601" s="93"/>
      <c r="H601" s="252"/>
      <c r="I601" s="93"/>
      <c r="J601" s="93"/>
      <c r="K601" s="93"/>
      <c r="L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K601" s="90"/>
    </row>
    <row r="602" spans="1:38" ht="15" thickBot="1" x14ac:dyDescent="0.35">
      <c r="A602" s="512"/>
      <c r="B602" s="96"/>
      <c r="C602" s="96"/>
      <c r="D602" s="96"/>
      <c r="E602" s="96"/>
      <c r="F602" s="295"/>
      <c r="G602" s="96"/>
      <c r="H602" s="421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362"/>
      <c r="AL602" s="96"/>
    </row>
    <row r="603" spans="1:38" ht="24" thickBot="1" x14ac:dyDescent="0.35">
      <c r="A603" s="510" t="s">
        <v>1023</v>
      </c>
      <c r="B603" s="513" t="s">
        <v>156</v>
      </c>
      <c r="C603" s="514"/>
      <c r="D603" s="514"/>
      <c r="E603" s="515"/>
      <c r="F603" s="285"/>
      <c r="G603" s="513" t="s">
        <v>157</v>
      </c>
      <c r="H603" s="514"/>
      <c r="I603" s="514"/>
      <c r="J603" s="515"/>
      <c r="K603" s="246"/>
      <c r="L603" s="516" t="s">
        <v>158</v>
      </c>
      <c r="M603" s="517"/>
      <c r="N603" s="517"/>
      <c r="O603" s="518"/>
      <c r="P603" s="247"/>
      <c r="Q603" s="516" t="s">
        <v>159</v>
      </c>
      <c r="R603" s="517"/>
      <c r="S603" s="517"/>
      <c r="T603" s="518"/>
      <c r="U603" s="246"/>
      <c r="Z603" s="246"/>
      <c r="AA603" s="246"/>
      <c r="AC603" s="516" t="s">
        <v>161</v>
      </c>
      <c r="AD603" s="517"/>
      <c r="AE603" s="517"/>
      <c r="AF603" s="518"/>
      <c r="AH603" s="516" t="s">
        <v>161</v>
      </c>
      <c r="AI603" s="517"/>
      <c r="AJ603" s="517"/>
      <c r="AK603" s="518"/>
    </row>
    <row r="604" spans="1:38" x14ac:dyDescent="0.3">
      <c r="A604" s="511"/>
      <c r="B604" s="381" t="s">
        <v>417</v>
      </c>
      <c r="C604" s="335" t="s">
        <v>456</v>
      </c>
      <c r="D604" s="336">
        <v>720</v>
      </c>
      <c r="E604" s="335">
        <v>1</v>
      </c>
      <c r="F604" s="286"/>
      <c r="G604" s="335" t="s">
        <v>981</v>
      </c>
      <c r="H604" s="335" t="s">
        <v>731</v>
      </c>
      <c r="I604" s="336">
        <v>268</v>
      </c>
      <c r="J604" s="335">
        <v>4</v>
      </c>
      <c r="K604" s="93"/>
      <c r="L604" s="335" t="s">
        <v>182</v>
      </c>
      <c r="M604" s="335" t="s">
        <v>165</v>
      </c>
      <c r="N604" s="382">
        <v>3510</v>
      </c>
      <c r="O604" s="335">
        <v>6</v>
      </c>
      <c r="P604" s="93"/>
      <c r="Q604" s="335" t="s">
        <v>1020</v>
      </c>
      <c r="R604" s="335" t="s">
        <v>159</v>
      </c>
      <c r="S604" s="382">
        <v>1497</v>
      </c>
      <c r="T604" s="335">
        <v>1</v>
      </c>
      <c r="U604" s="93"/>
      <c r="Z604" s="93"/>
      <c r="AA604" s="93"/>
      <c r="AC604" s="335" t="s">
        <v>906</v>
      </c>
      <c r="AD604" s="335" t="s">
        <v>907</v>
      </c>
      <c r="AE604" s="335">
        <v>666.4</v>
      </c>
      <c r="AF604" s="335">
        <v>119</v>
      </c>
      <c r="AH604" s="335" t="s">
        <v>1043</v>
      </c>
      <c r="AI604" s="335" t="s">
        <v>242</v>
      </c>
      <c r="AJ604" s="335">
        <v>300.72000000000003</v>
      </c>
      <c r="AK604" s="335">
        <v>8</v>
      </c>
    </row>
    <row r="605" spans="1:38" x14ac:dyDescent="0.3">
      <c r="A605" s="511"/>
      <c r="B605" s="91" t="s">
        <v>454</v>
      </c>
      <c r="C605" s="337" t="s">
        <v>455</v>
      </c>
      <c r="D605" s="338">
        <v>49560</v>
      </c>
      <c r="E605" s="337">
        <v>15</v>
      </c>
      <c r="F605" s="286"/>
      <c r="G605" s="337" t="s">
        <v>1024</v>
      </c>
      <c r="H605" s="337" t="s">
        <v>313</v>
      </c>
      <c r="I605" s="338">
        <v>15</v>
      </c>
      <c r="J605" s="337">
        <v>1</v>
      </c>
      <c r="K605" s="93"/>
      <c r="L605" s="337" t="s">
        <v>808</v>
      </c>
      <c r="M605" s="337" t="s">
        <v>165</v>
      </c>
      <c r="N605" s="339">
        <v>7605</v>
      </c>
      <c r="O605" s="337">
        <v>13</v>
      </c>
      <c r="P605" s="93"/>
      <c r="Q605" s="337" t="s">
        <v>319</v>
      </c>
      <c r="R605" s="337" t="s">
        <v>320</v>
      </c>
      <c r="S605" s="339">
        <v>20096</v>
      </c>
      <c r="T605" s="337">
        <v>16</v>
      </c>
      <c r="U605" s="93"/>
      <c r="Z605" s="93"/>
      <c r="AA605" s="93"/>
      <c r="AC605" s="337" t="s">
        <v>909</v>
      </c>
      <c r="AD605" s="337" t="s">
        <v>907</v>
      </c>
      <c r="AE605" s="337">
        <v>492</v>
      </c>
      <c r="AF605" s="337">
        <v>123</v>
      </c>
      <c r="AH605" s="337" t="s">
        <v>275</v>
      </c>
      <c r="AI605" s="337" t="s">
        <v>242</v>
      </c>
      <c r="AJ605" s="337">
        <v>295.72000000000003</v>
      </c>
      <c r="AK605" s="337">
        <v>8</v>
      </c>
    </row>
    <row r="606" spans="1:38" x14ac:dyDescent="0.3">
      <c r="A606" s="511"/>
      <c r="B606" s="91" t="s">
        <v>179</v>
      </c>
      <c r="C606" s="337" t="s">
        <v>162</v>
      </c>
      <c r="D606" s="338">
        <v>49792</v>
      </c>
      <c r="E606" s="337">
        <v>32</v>
      </c>
      <c r="F606" s="286"/>
      <c r="G606" s="337" t="s">
        <v>629</v>
      </c>
      <c r="H606" s="337" t="s">
        <v>630</v>
      </c>
      <c r="I606" s="338">
        <v>10970</v>
      </c>
      <c r="J606" s="337">
        <v>5</v>
      </c>
      <c r="K606" s="93"/>
      <c r="L606" s="337" t="s">
        <v>483</v>
      </c>
      <c r="M606" s="337" t="s">
        <v>165</v>
      </c>
      <c r="N606" s="339">
        <v>1755</v>
      </c>
      <c r="O606" s="337">
        <v>3</v>
      </c>
      <c r="P606" s="93"/>
      <c r="Q606" s="337" t="s">
        <v>166</v>
      </c>
      <c r="R606" s="337" t="s">
        <v>167</v>
      </c>
      <c r="S606" s="339">
        <v>5988</v>
      </c>
      <c r="T606" s="337">
        <v>4</v>
      </c>
      <c r="U606" s="93"/>
      <c r="Z606" s="93"/>
      <c r="AA606" s="93"/>
      <c r="AC606" s="337" t="s">
        <v>910</v>
      </c>
      <c r="AD606" s="337" t="s">
        <v>911</v>
      </c>
      <c r="AE606" s="337">
        <v>441</v>
      </c>
      <c r="AF606" s="337">
        <v>126</v>
      </c>
      <c r="AH606" s="337" t="s">
        <v>753</v>
      </c>
      <c r="AI606" s="337" t="s">
        <v>431</v>
      </c>
      <c r="AJ606" s="337">
        <v>456</v>
      </c>
      <c r="AK606" s="337">
        <v>8</v>
      </c>
    </row>
    <row r="607" spans="1:38" x14ac:dyDescent="0.3">
      <c r="A607" s="511"/>
      <c r="B607" s="91" t="s">
        <v>203</v>
      </c>
      <c r="C607" s="337" t="s">
        <v>806</v>
      </c>
      <c r="D607" s="338">
        <v>36274.6</v>
      </c>
      <c r="E607" s="337">
        <v>17</v>
      </c>
      <c r="F607" s="286"/>
      <c r="G607" s="337" t="s">
        <v>631</v>
      </c>
      <c r="H607" s="337" t="s">
        <v>630</v>
      </c>
      <c r="I607" s="338">
        <v>4388</v>
      </c>
      <c r="J607" s="337">
        <v>2</v>
      </c>
      <c r="K607" s="93"/>
      <c r="L607" s="337" t="s">
        <v>164</v>
      </c>
      <c r="M607" s="337" t="s">
        <v>165</v>
      </c>
      <c r="N607" s="339">
        <v>5257</v>
      </c>
      <c r="O607" s="337">
        <v>7</v>
      </c>
      <c r="P607" s="93"/>
      <c r="Q607" s="337" t="s">
        <v>173</v>
      </c>
      <c r="R607" s="337" t="s">
        <v>174</v>
      </c>
      <c r="S607" s="339">
        <v>6786</v>
      </c>
      <c r="T607" s="337">
        <v>6</v>
      </c>
      <c r="U607" s="93"/>
      <c r="Z607" s="93"/>
      <c r="AA607" s="93"/>
      <c r="AC607" s="337" t="s">
        <v>557</v>
      </c>
      <c r="AD607" s="337" t="s">
        <v>457</v>
      </c>
      <c r="AE607" s="337">
        <v>263.5</v>
      </c>
      <c r="AF607" s="337">
        <v>31</v>
      </c>
      <c r="AH607" s="337" t="s">
        <v>372</v>
      </c>
      <c r="AI607" s="337" t="s">
        <v>431</v>
      </c>
      <c r="AJ607" s="337">
        <v>213</v>
      </c>
      <c r="AK607" s="337">
        <v>9</v>
      </c>
    </row>
    <row r="608" spans="1:38" x14ac:dyDescent="0.3">
      <c r="A608" s="511"/>
      <c r="B608" s="91" t="s">
        <v>807</v>
      </c>
      <c r="C608" s="337" t="s">
        <v>170</v>
      </c>
      <c r="D608" s="338">
        <v>1411</v>
      </c>
      <c r="E608" s="337">
        <v>1</v>
      </c>
      <c r="F608" s="286"/>
      <c r="G608" s="337" t="s">
        <v>180</v>
      </c>
      <c r="H608" s="337" t="s">
        <v>181</v>
      </c>
      <c r="I608" s="338">
        <v>1538</v>
      </c>
      <c r="J608" s="337">
        <v>2</v>
      </c>
      <c r="K608" s="93"/>
      <c r="L608" s="337" t="s">
        <v>322</v>
      </c>
      <c r="M608" s="337" t="s">
        <v>165</v>
      </c>
      <c r="N608" s="339">
        <v>2379</v>
      </c>
      <c r="O608" s="337">
        <v>3</v>
      </c>
      <c r="P608" s="93"/>
      <c r="Q608" s="337" t="s">
        <v>1021</v>
      </c>
      <c r="R608" s="337" t="s">
        <v>174</v>
      </c>
      <c r="S608" s="339">
        <v>11013.12</v>
      </c>
      <c r="T608" s="337">
        <v>12</v>
      </c>
      <c r="U608" s="93"/>
      <c r="Z608" s="93"/>
      <c r="AA608" s="93"/>
      <c r="AC608" s="337" t="s">
        <v>1027</v>
      </c>
      <c r="AD608" s="337" t="s">
        <v>457</v>
      </c>
      <c r="AE608" s="337">
        <v>72</v>
      </c>
      <c r="AF608" s="337">
        <v>2</v>
      </c>
      <c r="AH608" s="337" t="s">
        <v>755</v>
      </c>
      <c r="AI608" s="337" t="s">
        <v>431</v>
      </c>
      <c r="AJ608" s="337">
        <v>231.84</v>
      </c>
      <c r="AK608" s="337">
        <v>4</v>
      </c>
    </row>
    <row r="609" spans="1:37" x14ac:dyDescent="0.3">
      <c r="A609" s="511"/>
      <c r="B609" s="91" t="s">
        <v>334</v>
      </c>
      <c r="C609" s="337" t="s">
        <v>170</v>
      </c>
      <c r="D609" s="339">
        <v>1589</v>
      </c>
      <c r="E609" s="337">
        <v>1</v>
      </c>
      <c r="F609" s="286"/>
      <c r="G609" s="337" t="s">
        <v>331</v>
      </c>
      <c r="H609" s="337" t="s">
        <v>181</v>
      </c>
      <c r="I609" s="338">
        <v>2640</v>
      </c>
      <c r="J609" s="337">
        <v>4</v>
      </c>
      <c r="K609" s="93"/>
      <c r="L609" s="337" t="s">
        <v>185</v>
      </c>
      <c r="M609" s="337" t="s">
        <v>165</v>
      </c>
      <c r="N609" s="339">
        <v>9516</v>
      </c>
      <c r="O609" s="337">
        <v>12</v>
      </c>
      <c r="P609" s="93"/>
      <c r="Q609" s="337" t="s">
        <v>186</v>
      </c>
      <c r="R609" s="337" t="s">
        <v>174</v>
      </c>
      <c r="S609" s="339">
        <v>31100</v>
      </c>
      <c r="T609" s="337">
        <v>25</v>
      </c>
      <c r="U609" s="93"/>
      <c r="Z609" s="93"/>
      <c r="AA609" s="93"/>
      <c r="AC609" s="337" t="s">
        <v>337</v>
      </c>
      <c r="AD609" s="337" t="s">
        <v>336</v>
      </c>
      <c r="AE609" s="337">
        <v>6</v>
      </c>
      <c r="AF609" s="337">
        <v>2</v>
      </c>
      <c r="AH609" s="337" t="s">
        <v>757</v>
      </c>
      <c r="AI609" s="337" t="s">
        <v>431</v>
      </c>
      <c r="AJ609" s="337">
        <v>180</v>
      </c>
      <c r="AK609" s="337">
        <v>4</v>
      </c>
    </row>
    <row r="610" spans="1:37" x14ac:dyDescent="0.3">
      <c r="A610" s="511"/>
      <c r="B610" s="91" t="s">
        <v>200</v>
      </c>
      <c r="C610" s="337" t="s">
        <v>170</v>
      </c>
      <c r="D610" s="339">
        <v>9688</v>
      </c>
      <c r="E610" s="337">
        <v>8</v>
      </c>
      <c r="F610" s="311"/>
      <c r="G610" s="337" t="s">
        <v>564</v>
      </c>
      <c r="H610" s="337" t="s">
        <v>181</v>
      </c>
      <c r="I610" s="338">
        <v>30121</v>
      </c>
      <c r="J610" s="337">
        <v>13</v>
      </c>
      <c r="K610" s="93"/>
      <c r="L610" s="337" t="s">
        <v>585</v>
      </c>
      <c r="M610" s="337" t="s">
        <v>165</v>
      </c>
      <c r="N610" s="339">
        <v>1170</v>
      </c>
      <c r="O610" s="337">
        <v>2</v>
      </c>
      <c r="P610" s="93"/>
      <c r="Q610" s="337" t="s">
        <v>186</v>
      </c>
      <c r="R610" s="337" t="s">
        <v>174</v>
      </c>
      <c r="S610" s="339">
        <v>6220</v>
      </c>
      <c r="T610" s="337">
        <v>5</v>
      </c>
      <c r="U610" s="93"/>
      <c r="Z610" s="93"/>
      <c r="AA610" s="93"/>
      <c r="AC610" s="337" t="s">
        <v>844</v>
      </c>
      <c r="AD610" s="337" t="s">
        <v>205</v>
      </c>
      <c r="AE610" s="337">
        <v>52.5</v>
      </c>
      <c r="AF610" s="337">
        <v>15</v>
      </c>
      <c r="AH610" s="337" t="s">
        <v>297</v>
      </c>
      <c r="AI610" s="337" t="s">
        <v>298</v>
      </c>
      <c r="AJ610" s="337">
        <v>334.82</v>
      </c>
      <c r="AK610" s="337">
        <v>99</v>
      </c>
    </row>
    <row r="611" spans="1:37" x14ac:dyDescent="0.3">
      <c r="A611" s="511"/>
      <c r="B611" s="91" t="s">
        <v>627</v>
      </c>
      <c r="C611" s="337" t="s">
        <v>170</v>
      </c>
      <c r="D611" s="339">
        <v>7266</v>
      </c>
      <c r="E611" s="337">
        <v>6</v>
      </c>
      <c r="F611" s="311"/>
      <c r="G611" s="337" t="s">
        <v>325</v>
      </c>
      <c r="H611" s="337" t="s">
        <v>181</v>
      </c>
      <c r="I611" s="338">
        <v>11480</v>
      </c>
      <c r="J611" s="337">
        <v>7</v>
      </c>
      <c r="K611" s="93"/>
      <c r="L611" s="337" t="s">
        <v>916</v>
      </c>
      <c r="M611" s="337" t="s">
        <v>165</v>
      </c>
      <c r="N611" s="339">
        <v>751</v>
      </c>
      <c r="O611" s="337">
        <v>1</v>
      </c>
      <c r="P611" s="93"/>
      <c r="Q611" s="337" t="s">
        <v>535</v>
      </c>
      <c r="R611" s="337" t="s">
        <v>174</v>
      </c>
      <c r="S611" s="339">
        <v>4696</v>
      </c>
      <c r="T611" s="337">
        <v>4</v>
      </c>
      <c r="U611" s="93"/>
      <c r="Z611" s="93"/>
      <c r="AA611" s="93"/>
      <c r="AC611" s="337" t="s">
        <v>498</v>
      </c>
      <c r="AD611" s="337" t="s">
        <v>205</v>
      </c>
      <c r="AE611" s="337">
        <v>52</v>
      </c>
      <c r="AF611" s="337">
        <v>8</v>
      </c>
      <c r="AH611" s="337" t="s">
        <v>299</v>
      </c>
      <c r="AI611" s="337" t="s">
        <v>298</v>
      </c>
      <c r="AJ611" s="337">
        <v>334.82</v>
      </c>
      <c r="AK611" s="337">
        <v>99</v>
      </c>
    </row>
    <row r="612" spans="1:37" x14ac:dyDescent="0.3">
      <c r="A612" s="511"/>
      <c r="B612" s="91" t="s">
        <v>482</v>
      </c>
      <c r="C612" s="337" t="s">
        <v>170</v>
      </c>
      <c r="D612" s="339">
        <v>16300</v>
      </c>
      <c r="E612" s="337">
        <v>4</v>
      </c>
      <c r="F612" s="286"/>
      <c r="G612" s="337" t="s">
        <v>177</v>
      </c>
      <c r="H612" s="337" t="s">
        <v>181</v>
      </c>
      <c r="I612" s="338">
        <v>15728</v>
      </c>
      <c r="J612" s="337">
        <v>8</v>
      </c>
      <c r="K612" s="93"/>
      <c r="L612" s="337" t="s">
        <v>635</v>
      </c>
      <c r="M612" s="337" t="s">
        <v>165</v>
      </c>
      <c r="N612" s="339">
        <v>7476</v>
      </c>
      <c r="O612" s="337">
        <v>6</v>
      </c>
      <c r="P612" s="93"/>
      <c r="Q612" s="337" t="s">
        <v>642</v>
      </c>
      <c r="R612" s="337" t="s">
        <v>643</v>
      </c>
      <c r="S612" s="339">
        <v>4696</v>
      </c>
      <c r="T612" s="337">
        <v>4</v>
      </c>
      <c r="U612" s="93"/>
      <c r="Z612" s="93"/>
      <c r="AA612" s="93"/>
      <c r="AC612" s="337" t="s">
        <v>500</v>
      </c>
      <c r="AD612" s="337" t="s">
        <v>205</v>
      </c>
      <c r="AE612" s="337">
        <v>52</v>
      </c>
      <c r="AF612" s="337">
        <v>8</v>
      </c>
      <c r="AH612" s="337" t="s">
        <v>306</v>
      </c>
      <c r="AI612" s="337" t="s">
        <v>301</v>
      </c>
      <c r="AJ612" s="337">
        <v>104.26</v>
      </c>
      <c r="AK612" s="337">
        <v>1</v>
      </c>
    </row>
    <row r="613" spans="1:37" x14ac:dyDescent="0.3">
      <c r="A613" s="511"/>
      <c r="B613" s="91" t="s">
        <v>188</v>
      </c>
      <c r="C613" s="337" t="s">
        <v>170</v>
      </c>
      <c r="D613" s="339">
        <v>7092</v>
      </c>
      <c r="E613" s="337">
        <v>1</v>
      </c>
      <c r="F613" s="286"/>
      <c r="G613" s="337" t="s">
        <v>377</v>
      </c>
      <c r="H613" s="337" t="s">
        <v>181</v>
      </c>
      <c r="I613" s="338">
        <v>3198</v>
      </c>
      <c r="J613" s="337">
        <v>2</v>
      </c>
      <c r="K613" s="93"/>
      <c r="L613" s="337" t="s">
        <v>1025</v>
      </c>
      <c r="M613" s="337" t="s">
        <v>1026</v>
      </c>
      <c r="N613" s="339">
        <v>1246</v>
      </c>
      <c r="O613" s="337">
        <v>1</v>
      </c>
      <c r="P613" s="93"/>
      <c r="Q613" s="337" t="s">
        <v>198</v>
      </c>
      <c r="R613" s="337" t="s">
        <v>199</v>
      </c>
      <c r="S613" s="339">
        <v>7800</v>
      </c>
      <c r="T613" s="337">
        <v>2</v>
      </c>
      <c r="U613" s="93"/>
      <c r="Z613" s="93"/>
      <c r="AA613" s="93"/>
      <c r="AC613" s="337" t="s">
        <v>342</v>
      </c>
      <c r="AD613" s="337" t="s">
        <v>205</v>
      </c>
      <c r="AE613" s="337">
        <v>72</v>
      </c>
      <c r="AF613" s="337">
        <v>16</v>
      </c>
      <c r="AH613" s="337" t="s">
        <v>868</v>
      </c>
      <c r="AI613" s="337" t="s">
        <v>301</v>
      </c>
      <c r="AJ613" s="337">
        <v>11.2</v>
      </c>
      <c r="AK613" s="337">
        <v>1</v>
      </c>
    </row>
    <row r="614" spans="1:37" x14ac:dyDescent="0.3">
      <c r="A614" s="511"/>
      <c r="B614" s="91" t="s">
        <v>550</v>
      </c>
      <c r="C614" s="337" t="s">
        <v>170</v>
      </c>
      <c r="D614" s="339">
        <v>14184</v>
      </c>
      <c r="E614" s="337">
        <v>2</v>
      </c>
      <c r="F614" s="286"/>
      <c r="G614" s="337" t="s">
        <v>163</v>
      </c>
      <c r="H614" s="337" t="s">
        <v>181</v>
      </c>
      <c r="I614" s="338">
        <v>44772</v>
      </c>
      <c r="J614" s="337">
        <v>28</v>
      </c>
      <c r="K614" s="93"/>
      <c r="L614" s="337" t="s">
        <v>171</v>
      </c>
      <c r="M614" s="337" t="s">
        <v>172</v>
      </c>
      <c r="N614" s="339">
        <v>18775</v>
      </c>
      <c r="O614" s="337">
        <v>25</v>
      </c>
      <c r="P614" s="93"/>
      <c r="Q614" s="337" t="s">
        <v>206</v>
      </c>
      <c r="R614" s="337" t="s">
        <v>207</v>
      </c>
      <c r="S614" s="339">
        <v>16800</v>
      </c>
      <c r="T614" s="337">
        <v>4</v>
      </c>
      <c r="U614" s="93"/>
      <c r="Z614" s="93"/>
      <c r="AA614" s="93"/>
      <c r="AC614" s="337" t="s">
        <v>922</v>
      </c>
      <c r="AD614" s="337" t="s">
        <v>205</v>
      </c>
      <c r="AE614" s="337">
        <v>16.5</v>
      </c>
      <c r="AF614" s="337">
        <v>5</v>
      </c>
      <c r="AH614" s="337" t="s">
        <v>300</v>
      </c>
      <c r="AI614" s="337" t="s">
        <v>301</v>
      </c>
      <c r="AJ614" s="337">
        <v>361</v>
      </c>
      <c r="AK614" s="337">
        <v>2</v>
      </c>
    </row>
    <row r="615" spans="1:37" x14ac:dyDescent="0.3">
      <c r="A615" s="511"/>
      <c r="B615" s="91" t="s">
        <v>445</v>
      </c>
      <c r="C615" s="337" t="s">
        <v>170</v>
      </c>
      <c r="D615" s="339">
        <v>14360</v>
      </c>
      <c r="E615" s="337">
        <v>8</v>
      </c>
      <c r="F615" s="286"/>
      <c r="G615" s="337" t="s">
        <v>632</v>
      </c>
      <c r="H615" s="337" t="s">
        <v>181</v>
      </c>
      <c r="I615" s="338">
        <v>2521</v>
      </c>
      <c r="J615" s="337">
        <v>1</v>
      </c>
      <c r="K615" s="93"/>
      <c r="L615" s="337" t="s">
        <v>192</v>
      </c>
      <c r="M615" s="337" t="s">
        <v>551</v>
      </c>
      <c r="N615" s="339">
        <v>7728</v>
      </c>
      <c r="O615" s="337">
        <v>8</v>
      </c>
      <c r="P615" s="93"/>
      <c r="Q615" s="337"/>
      <c r="R615" s="337"/>
      <c r="S615" s="339"/>
      <c r="T615" s="337"/>
      <c r="U615" s="93"/>
      <c r="Z615" s="93"/>
      <c r="AA615" s="93"/>
      <c r="AC615" s="337" t="s">
        <v>190</v>
      </c>
      <c r="AD615" s="337" t="s">
        <v>205</v>
      </c>
      <c r="AE615" s="337">
        <v>28</v>
      </c>
      <c r="AF615" s="337">
        <v>4</v>
      </c>
      <c r="AH615" s="337" t="s">
        <v>763</v>
      </c>
      <c r="AI615" s="337" t="s">
        <v>399</v>
      </c>
      <c r="AJ615" s="337">
        <v>260</v>
      </c>
      <c r="AK615" s="337">
        <v>20</v>
      </c>
    </row>
    <row r="616" spans="1:37" x14ac:dyDescent="0.3">
      <c r="A616" s="511"/>
      <c r="B616" s="91" t="s">
        <v>920</v>
      </c>
      <c r="C616" s="337" t="s">
        <v>170</v>
      </c>
      <c r="D616" s="339">
        <v>6284</v>
      </c>
      <c r="E616" s="337">
        <v>1</v>
      </c>
      <c r="F616" s="286"/>
      <c r="G616" s="337" t="s">
        <v>633</v>
      </c>
      <c r="H616" s="337" t="s">
        <v>181</v>
      </c>
      <c r="I616" s="338">
        <v>2521</v>
      </c>
      <c r="J616" s="337">
        <v>1</v>
      </c>
      <c r="K616" s="93"/>
      <c r="L616" s="337"/>
      <c r="M616" s="337"/>
      <c r="N616" s="339"/>
      <c r="O616" s="337"/>
      <c r="P616" s="93"/>
      <c r="Q616" s="337"/>
      <c r="R616" s="337"/>
      <c r="S616" s="339"/>
      <c r="T616" s="337"/>
      <c r="U616" s="93"/>
      <c r="X616" s="302"/>
      <c r="Z616" s="93"/>
      <c r="AA616" s="93"/>
      <c r="AC616" s="337" t="s">
        <v>386</v>
      </c>
      <c r="AD616" s="337" t="s">
        <v>205</v>
      </c>
      <c r="AE616" s="337">
        <v>28</v>
      </c>
      <c r="AF616" s="337">
        <v>8</v>
      </c>
      <c r="AH616" s="337" t="s">
        <v>215</v>
      </c>
      <c r="AI616" s="337" t="s">
        <v>399</v>
      </c>
      <c r="AJ616" s="337">
        <v>358.8</v>
      </c>
      <c r="AK616" s="337">
        <v>26</v>
      </c>
    </row>
    <row r="617" spans="1:37" x14ac:dyDescent="0.3">
      <c r="A617" s="511"/>
      <c r="B617" s="91"/>
      <c r="C617" s="337"/>
      <c r="D617" s="339"/>
      <c r="E617" s="337"/>
      <c r="F617" s="286"/>
      <c r="G617" s="337" t="s">
        <v>195</v>
      </c>
      <c r="H617" s="337" t="s">
        <v>181</v>
      </c>
      <c r="I617" s="338">
        <v>20168</v>
      </c>
      <c r="J617" s="337">
        <v>8</v>
      </c>
      <c r="K617" s="93"/>
      <c r="L617" s="337"/>
      <c r="M617" s="337"/>
      <c r="N617" s="339"/>
      <c r="O617" s="337"/>
      <c r="P617" s="93"/>
      <c r="Q617" s="337"/>
      <c r="R617" s="337"/>
      <c r="S617" s="339"/>
      <c r="T617" s="337"/>
      <c r="U617" s="93"/>
      <c r="X617" s="302"/>
      <c r="Z617" s="93"/>
      <c r="AA617" s="93"/>
      <c r="AC617" s="337" t="s">
        <v>235</v>
      </c>
      <c r="AD617" s="337" t="s">
        <v>205</v>
      </c>
      <c r="AE617" s="337">
        <v>420</v>
      </c>
      <c r="AF617" s="337">
        <v>60</v>
      </c>
      <c r="AH617" s="337" t="s">
        <v>870</v>
      </c>
      <c r="AI617" s="337" t="s">
        <v>399</v>
      </c>
      <c r="AJ617" s="337">
        <v>119.2</v>
      </c>
      <c r="AK617" s="337">
        <v>8</v>
      </c>
    </row>
    <row r="618" spans="1:37" x14ac:dyDescent="0.3">
      <c r="A618" s="511"/>
      <c r="B618" s="91"/>
      <c r="C618" s="337"/>
      <c r="D618" s="339"/>
      <c r="E618" s="337"/>
      <c r="F618" s="286"/>
      <c r="G618" s="337" t="s">
        <v>982</v>
      </c>
      <c r="H618" s="337" t="s">
        <v>181</v>
      </c>
      <c r="I618" s="339">
        <v>15940</v>
      </c>
      <c r="J618" s="337">
        <v>4</v>
      </c>
      <c r="K618" s="93"/>
      <c r="L618" s="337"/>
      <c r="M618" s="337"/>
      <c r="N618" s="339"/>
      <c r="O618" s="337"/>
      <c r="P618" s="93"/>
      <c r="Q618" s="337"/>
      <c r="R618" s="337"/>
      <c r="S618" s="339"/>
      <c r="T618" s="337"/>
      <c r="U618" s="93"/>
      <c r="X618" s="302"/>
      <c r="Z618" s="93"/>
      <c r="AA618" s="93"/>
      <c r="AC618" s="337" t="s">
        <v>344</v>
      </c>
      <c r="AD618" s="337" t="s">
        <v>205</v>
      </c>
      <c r="AE618" s="337">
        <v>159.5</v>
      </c>
      <c r="AF618" s="337">
        <v>37</v>
      </c>
      <c r="AH618" s="337" t="s">
        <v>764</v>
      </c>
      <c r="AI618" s="337" t="s">
        <v>303</v>
      </c>
      <c r="AJ618" s="337">
        <v>240</v>
      </c>
      <c r="AK618" s="337">
        <v>20</v>
      </c>
    </row>
    <row r="619" spans="1:37" x14ac:dyDescent="0.3">
      <c r="A619" s="511"/>
      <c r="B619" s="91"/>
      <c r="C619" s="337"/>
      <c r="D619" s="339"/>
      <c r="E619" s="337"/>
      <c r="F619" s="286"/>
      <c r="G619" s="337" t="s">
        <v>921</v>
      </c>
      <c r="H619" s="337" t="s">
        <v>181</v>
      </c>
      <c r="I619" s="339">
        <v>2521</v>
      </c>
      <c r="J619" s="337">
        <v>1</v>
      </c>
      <c r="K619" s="93"/>
      <c r="L619" s="337"/>
      <c r="M619" s="337"/>
      <c r="N619" s="339"/>
      <c r="O619" s="337"/>
      <c r="P619" s="93"/>
      <c r="Q619" s="337"/>
      <c r="R619" s="337"/>
      <c r="S619" s="339">
        <v>24</v>
      </c>
      <c r="T619" s="337"/>
      <c r="U619" s="93"/>
      <c r="X619" s="302"/>
      <c r="Z619" s="93"/>
      <c r="AA619" s="93"/>
      <c r="AC619" s="337" t="s">
        <v>717</v>
      </c>
      <c r="AD619" s="337" t="s">
        <v>205</v>
      </c>
      <c r="AE619" s="337">
        <v>808.5</v>
      </c>
      <c r="AF619" s="337">
        <v>35</v>
      </c>
      <c r="AH619" s="337" t="s">
        <v>304</v>
      </c>
      <c r="AI619" s="337" t="s">
        <v>303</v>
      </c>
      <c r="AJ619" s="337">
        <v>423.8</v>
      </c>
      <c r="AK619" s="337">
        <v>26</v>
      </c>
    </row>
    <row r="620" spans="1:37" x14ac:dyDescent="0.3">
      <c r="A620" s="511"/>
      <c r="F620" s="286"/>
      <c r="G620" s="93"/>
      <c r="H620" s="93"/>
      <c r="I620" s="93"/>
      <c r="J620" s="93"/>
      <c r="K620" s="93"/>
      <c r="L620" s="337"/>
      <c r="M620" s="337"/>
      <c r="N620" s="338"/>
      <c r="O620" s="337"/>
      <c r="P620" s="93"/>
      <c r="Q620" s="337"/>
      <c r="R620" s="337"/>
      <c r="S620" s="339"/>
      <c r="T620" s="337"/>
      <c r="U620" s="93"/>
      <c r="X620" s="302"/>
      <c r="Z620" s="93"/>
      <c r="AA620" s="93"/>
      <c r="AC620" s="337" t="s">
        <v>683</v>
      </c>
      <c r="AD620" s="337" t="s">
        <v>205</v>
      </c>
      <c r="AE620" s="337">
        <v>188</v>
      </c>
      <c r="AF620" s="337">
        <v>8</v>
      </c>
      <c r="AH620" s="337" t="s">
        <v>872</v>
      </c>
      <c r="AI620" s="337" t="s">
        <v>303</v>
      </c>
      <c r="AJ620" s="337">
        <v>117.6</v>
      </c>
      <c r="AK620" s="337">
        <v>8</v>
      </c>
    </row>
    <row r="621" spans="1:37" x14ac:dyDescent="0.3">
      <c r="A621" s="511"/>
      <c r="B621" s="93"/>
      <c r="C621" s="93"/>
      <c r="F621" s="286"/>
      <c r="G621" s="93"/>
      <c r="H621" s="93"/>
      <c r="I621" s="93"/>
      <c r="J621" s="93"/>
      <c r="K621" s="93"/>
      <c r="L621" s="337"/>
      <c r="M621" s="337"/>
      <c r="N621" s="338"/>
      <c r="O621" s="337"/>
      <c r="P621" s="93"/>
      <c r="Q621" s="337"/>
      <c r="R621" s="337"/>
      <c r="S621" s="339"/>
      <c r="T621" s="337"/>
      <c r="U621" s="93"/>
      <c r="X621" s="302"/>
      <c r="Z621" s="93"/>
      <c r="AA621" s="93"/>
      <c r="AC621" s="337" t="s">
        <v>684</v>
      </c>
      <c r="AD621" s="337" t="s">
        <v>205</v>
      </c>
      <c r="AE621" s="337">
        <v>133</v>
      </c>
      <c r="AF621" s="337">
        <v>19</v>
      </c>
      <c r="AH621" s="337" t="s">
        <v>364</v>
      </c>
      <c r="AI621" s="337" t="s">
        <v>365</v>
      </c>
      <c r="AJ621" s="337">
        <v>476.56</v>
      </c>
      <c r="AK621" s="337">
        <v>56</v>
      </c>
    </row>
    <row r="622" spans="1:37" x14ac:dyDescent="0.3">
      <c r="A622" s="511"/>
      <c r="B622" s="93"/>
      <c r="C622" s="93"/>
      <c r="D622" s="208"/>
      <c r="E622" s="93"/>
      <c r="F622" s="286"/>
      <c r="G622" s="93"/>
      <c r="H622" s="93"/>
      <c r="I622" s="93"/>
      <c r="J622" s="93"/>
      <c r="K622" s="93"/>
      <c r="L622" s="337"/>
      <c r="M622" s="337"/>
      <c r="N622" s="338"/>
      <c r="O622" s="337"/>
      <c r="P622" s="93"/>
      <c r="Q622" s="337"/>
      <c r="R622" s="337"/>
      <c r="S622" s="339"/>
      <c r="T622" s="337"/>
      <c r="U622" s="93"/>
      <c r="X622" s="302"/>
      <c r="Z622" s="93"/>
      <c r="AA622" s="93"/>
      <c r="AC622" s="337" t="s">
        <v>685</v>
      </c>
      <c r="AD622" s="337" t="s">
        <v>205</v>
      </c>
      <c r="AE622" s="337">
        <v>133</v>
      </c>
      <c r="AF622" s="337">
        <v>19</v>
      </c>
      <c r="AH622" s="337" t="s">
        <v>1044</v>
      </c>
      <c r="AI622" s="337" t="s">
        <v>403</v>
      </c>
      <c r="AJ622" s="337">
        <v>28</v>
      </c>
      <c r="AK622" s="337">
        <v>4</v>
      </c>
    </row>
    <row r="623" spans="1:37" x14ac:dyDescent="0.3">
      <c r="A623" s="511"/>
      <c r="B623" s="93"/>
      <c r="C623" s="93"/>
      <c r="D623" s="208"/>
      <c r="E623" s="93"/>
      <c r="F623" s="286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337"/>
      <c r="R623" s="337"/>
      <c r="S623" s="339"/>
      <c r="T623" s="337"/>
      <c r="U623" s="93"/>
      <c r="X623" s="302"/>
      <c r="Z623" s="93"/>
      <c r="AA623" s="93"/>
      <c r="AC623" s="337" t="s">
        <v>1028</v>
      </c>
      <c r="AD623" s="337" t="s">
        <v>205</v>
      </c>
      <c r="AE623" s="337">
        <v>57</v>
      </c>
      <c r="AF623" s="337">
        <v>10</v>
      </c>
      <c r="AH623" s="337" t="s">
        <v>432</v>
      </c>
      <c r="AI623" s="337" t="s">
        <v>561</v>
      </c>
      <c r="AJ623" s="337">
        <v>145</v>
      </c>
      <c r="AK623" s="337">
        <v>1</v>
      </c>
    </row>
    <row r="624" spans="1:37" x14ac:dyDescent="0.3">
      <c r="A624" s="511"/>
      <c r="B624" s="91"/>
      <c r="C624" s="337"/>
      <c r="D624" s="337"/>
      <c r="E624" s="337"/>
      <c r="F624" s="286"/>
      <c r="G624" s="93"/>
      <c r="H624" s="93"/>
      <c r="I624" s="93"/>
      <c r="J624" s="93"/>
      <c r="K624" s="93"/>
      <c r="P624" s="93"/>
      <c r="Q624" s="383"/>
      <c r="R624" s="383"/>
      <c r="S624" s="384"/>
      <c r="T624" s="383"/>
      <c r="U624" s="93"/>
      <c r="X624" s="302"/>
      <c r="Z624" s="93"/>
      <c r="AA624" s="93"/>
      <c r="AC624" s="337" t="s">
        <v>210</v>
      </c>
      <c r="AD624" s="337" t="s">
        <v>205</v>
      </c>
      <c r="AE624" s="337">
        <v>302.5</v>
      </c>
      <c r="AF624" s="337">
        <v>55</v>
      </c>
      <c r="AH624" s="337" t="s">
        <v>309</v>
      </c>
      <c r="AI624" s="337" t="s">
        <v>368</v>
      </c>
      <c r="AJ624" s="339">
        <v>4060.8</v>
      </c>
      <c r="AK624" s="337">
        <v>48</v>
      </c>
    </row>
    <row r="625" spans="1:37" x14ac:dyDescent="0.3">
      <c r="A625" s="511"/>
      <c r="B625" s="91"/>
      <c r="C625" s="337"/>
      <c r="D625" s="337"/>
      <c r="E625" s="337"/>
      <c r="F625" s="286"/>
      <c r="G625" s="93"/>
      <c r="H625" s="93"/>
      <c r="I625" s="93"/>
      <c r="J625" s="93"/>
      <c r="K625" s="93"/>
      <c r="P625" s="93"/>
      <c r="Q625" s="337"/>
      <c r="R625" s="337"/>
      <c r="S625" s="338"/>
      <c r="T625" s="337"/>
      <c r="U625" s="93"/>
      <c r="X625" s="302"/>
      <c r="Z625" s="93"/>
      <c r="AA625" s="93"/>
      <c r="AC625" s="337" t="s">
        <v>416</v>
      </c>
      <c r="AD625" s="337" t="s">
        <v>205</v>
      </c>
      <c r="AE625" s="337">
        <v>64</v>
      </c>
      <c r="AF625" s="337">
        <v>4</v>
      </c>
      <c r="AH625" s="337" t="s">
        <v>768</v>
      </c>
      <c r="AI625" s="337" t="s">
        <v>769</v>
      </c>
      <c r="AJ625" s="337">
        <v>248</v>
      </c>
      <c r="AK625" s="337">
        <v>2</v>
      </c>
    </row>
    <row r="626" spans="1:37" x14ac:dyDescent="0.3">
      <c r="A626" s="511"/>
      <c r="B626" s="91"/>
      <c r="C626" s="337"/>
      <c r="D626" s="339"/>
      <c r="E626" s="337"/>
      <c r="F626" s="286"/>
      <c r="G626" s="93"/>
      <c r="H626" s="93"/>
      <c r="I626" s="93"/>
      <c r="J626" s="93"/>
      <c r="K626" s="93"/>
      <c r="P626" s="93"/>
      <c r="Q626" s="337"/>
      <c r="R626" s="337"/>
      <c r="S626" s="338"/>
      <c r="T626" s="337"/>
      <c r="U626" s="93"/>
      <c r="X626" s="302"/>
      <c r="Z626" s="93"/>
      <c r="AA626" s="93"/>
      <c r="AC626" s="337" t="s">
        <v>305</v>
      </c>
      <c r="AD626" s="337" t="s">
        <v>205</v>
      </c>
      <c r="AE626" s="337">
        <v>610</v>
      </c>
      <c r="AF626" s="337">
        <v>61</v>
      </c>
      <c r="AH626" s="337" t="s">
        <v>927</v>
      </c>
      <c r="AI626" s="337" t="s">
        <v>928</v>
      </c>
      <c r="AJ626" s="337">
        <v>430.5</v>
      </c>
      <c r="AK626" s="337">
        <v>123</v>
      </c>
    </row>
    <row r="627" spans="1:37" x14ac:dyDescent="0.3">
      <c r="A627" s="511"/>
      <c r="B627" s="93"/>
      <c r="C627" s="93"/>
      <c r="D627" s="208"/>
      <c r="E627" s="93"/>
      <c r="F627" s="286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337"/>
      <c r="R627" s="337"/>
      <c r="S627" s="338"/>
      <c r="T627" s="337"/>
      <c r="U627" s="93"/>
      <c r="Z627" s="93"/>
      <c r="AA627" s="93"/>
      <c r="AC627" s="337" t="s">
        <v>401</v>
      </c>
      <c r="AD627" s="337" t="s">
        <v>205</v>
      </c>
      <c r="AE627" s="337">
        <v>150</v>
      </c>
      <c r="AF627" s="337">
        <v>15</v>
      </c>
      <c r="AH627" s="337" t="s">
        <v>929</v>
      </c>
      <c r="AI627" s="337" t="s">
        <v>928</v>
      </c>
      <c r="AJ627" s="337">
        <v>680</v>
      </c>
      <c r="AK627" s="337">
        <v>136</v>
      </c>
    </row>
    <row r="628" spans="1:37" x14ac:dyDescent="0.3">
      <c r="A628" s="511"/>
      <c r="B628" s="93"/>
      <c r="C628" s="93"/>
      <c r="D628" s="93"/>
      <c r="E628" s="93"/>
      <c r="F628" s="286"/>
      <c r="G628" s="93"/>
      <c r="H628" s="93"/>
      <c r="I628" s="93"/>
      <c r="J628" s="93"/>
      <c r="K628" s="93"/>
      <c r="L628" s="93"/>
      <c r="M628" s="333"/>
      <c r="N628" s="334"/>
      <c r="O628" s="93"/>
      <c r="P628" s="93"/>
      <c r="Q628" s="93"/>
      <c r="R628" s="93"/>
      <c r="S628" s="93"/>
      <c r="T628" s="93"/>
      <c r="U628" s="93"/>
      <c r="Z628" s="93"/>
      <c r="AA628" s="93"/>
      <c r="AC628" s="337" t="s">
        <v>400</v>
      </c>
      <c r="AD628" s="337" t="s">
        <v>205</v>
      </c>
      <c r="AE628" s="337">
        <v>150</v>
      </c>
      <c r="AF628" s="337">
        <v>15</v>
      </c>
      <c r="AH628" s="337" t="s">
        <v>773</v>
      </c>
      <c r="AI628" s="337" t="s">
        <v>311</v>
      </c>
      <c r="AJ628" s="337">
        <v>10.199999999999999</v>
      </c>
      <c r="AK628" s="337">
        <v>51</v>
      </c>
    </row>
    <row r="629" spans="1:37" x14ac:dyDescent="0.3">
      <c r="A629" s="511"/>
      <c r="B629" s="93"/>
      <c r="C629" s="93"/>
      <c r="F629" s="286"/>
      <c r="G629" s="93"/>
      <c r="H629" s="93"/>
      <c r="I629" s="93"/>
      <c r="J629" s="93"/>
      <c r="K629" s="93"/>
      <c r="L629" s="93"/>
      <c r="M629" s="333"/>
      <c r="N629" s="334"/>
      <c r="O629" s="93"/>
      <c r="P629" s="93"/>
      <c r="Q629" s="93"/>
      <c r="R629" s="93"/>
      <c r="S629" s="93"/>
      <c r="T629" s="93"/>
      <c r="U629" s="93"/>
      <c r="Z629" s="93"/>
      <c r="AA629" s="93"/>
      <c r="AC629" s="337" t="s">
        <v>214</v>
      </c>
      <c r="AD629" s="337" t="s">
        <v>205</v>
      </c>
      <c r="AE629" s="339">
        <v>1525</v>
      </c>
      <c r="AF629" s="337">
        <v>61</v>
      </c>
      <c r="AH629" s="337" t="s">
        <v>310</v>
      </c>
      <c r="AI629" s="337" t="s">
        <v>311</v>
      </c>
      <c r="AJ629" s="337">
        <v>248</v>
      </c>
      <c r="AK629" s="337">
        <v>124</v>
      </c>
    </row>
    <row r="630" spans="1:37" x14ac:dyDescent="0.3">
      <c r="A630" s="511"/>
      <c r="B630" s="93"/>
      <c r="C630" s="93"/>
      <c r="F630" s="286"/>
      <c r="G630" s="93"/>
      <c r="H630" s="93"/>
      <c r="I630" s="93"/>
      <c r="J630" s="93"/>
      <c r="K630" s="93"/>
      <c r="L630" s="93"/>
      <c r="M630" s="333"/>
      <c r="N630" s="334"/>
      <c r="O630" s="93"/>
      <c r="P630" s="93"/>
      <c r="Q630" s="93"/>
      <c r="R630" s="93"/>
      <c r="S630" s="93"/>
      <c r="T630" s="93"/>
      <c r="U630" s="93"/>
      <c r="Z630" s="93"/>
      <c r="AA630" s="93"/>
      <c r="AC630" s="337" t="s">
        <v>211</v>
      </c>
      <c r="AD630" s="337" t="s">
        <v>205</v>
      </c>
      <c r="AE630" s="337">
        <v>136</v>
      </c>
      <c r="AF630" s="337">
        <v>8</v>
      </c>
      <c r="AH630" s="337" t="s">
        <v>970</v>
      </c>
      <c r="AI630" s="337" t="s">
        <v>971</v>
      </c>
      <c r="AJ630" s="337">
        <v>132</v>
      </c>
      <c r="AK630" s="337">
        <v>3</v>
      </c>
    </row>
    <row r="631" spans="1:37" x14ac:dyDescent="0.3">
      <c r="A631" s="511"/>
      <c r="B631" s="93"/>
      <c r="C631" s="93"/>
      <c r="F631" s="286"/>
      <c r="G631" s="93"/>
      <c r="H631" s="93"/>
      <c r="I631" s="93"/>
      <c r="J631" s="93"/>
      <c r="K631" s="93"/>
      <c r="L631" s="93"/>
      <c r="M631" s="333"/>
      <c r="N631" s="334"/>
      <c r="O631" s="93"/>
      <c r="P631" s="93"/>
      <c r="Q631" s="93"/>
      <c r="R631" s="93"/>
      <c r="S631" s="93"/>
      <c r="T631" s="93"/>
      <c r="U631" s="93"/>
      <c r="Z631" s="93"/>
      <c r="AA631" s="93"/>
      <c r="AC631" s="337" t="s">
        <v>316</v>
      </c>
      <c r="AD631" s="337" t="s">
        <v>205</v>
      </c>
      <c r="AE631" s="337">
        <v>306</v>
      </c>
      <c r="AF631" s="337">
        <v>50</v>
      </c>
      <c r="AH631" s="337" t="s">
        <v>525</v>
      </c>
      <c r="AI631" s="337" t="s">
        <v>313</v>
      </c>
      <c r="AJ631" s="337">
        <v>28</v>
      </c>
      <c r="AK631" s="337">
        <v>8</v>
      </c>
    </row>
    <row r="632" spans="1:37" x14ac:dyDescent="0.3">
      <c r="A632" s="511"/>
      <c r="B632" s="93"/>
      <c r="C632" s="93"/>
      <c r="D632" s="94"/>
      <c r="F632" s="286"/>
      <c r="G632" s="93"/>
      <c r="H632" s="93"/>
      <c r="I632" s="93"/>
      <c r="J632" s="93"/>
      <c r="K632" s="93"/>
      <c r="L632" s="93"/>
      <c r="M632" s="333"/>
      <c r="N632" s="334"/>
      <c r="O632" s="93"/>
      <c r="P632" s="93"/>
      <c r="Q632" s="93"/>
      <c r="R632" s="93"/>
      <c r="S632" s="93"/>
      <c r="T632" s="93"/>
      <c r="U632" s="93"/>
      <c r="Z632" s="93"/>
      <c r="AA632" s="93"/>
      <c r="AC632" s="337" t="s">
        <v>389</v>
      </c>
      <c r="AD632" s="337" t="s">
        <v>205</v>
      </c>
      <c r="AE632" s="337">
        <v>52.8</v>
      </c>
      <c r="AF632" s="337">
        <v>12</v>
      </c>
      <c r="AH632" s="337" t="s">
        <v>1045</v>
      </c>
      <c r="AI632" s="337" t="s">
        <v>313</v>
      </c>
      <c r="AJ632" s="337">
        <v>15.6</v>
      </c>
      <c r="AK632" s="337">
        <v>2</v>
      </c>
    </row>
    <row r="633" spans="1:37" x14ac:dyDescent="0.3">
      <c r="A633" s="511"/>
      <c r="B633" s="93"/>
      <c r="C633" s="93"/>
      <c r="F633" s="286"/>
      <c r="G633" s="93"/>
      <c r="H633" s="93"/>
      <c r="I633" s="93"/>
      <c r="J633" s="93"/>
      <c r="K633" s="93"/>
      <c r="L633" s="93"/>
      <c r="M633" s="333"/>
      <c r="N633" s="334"/>
      <c r="O633" s="93"/>
      <c r="P633" s="93"/>
      <c r="Q633" s="93"/>
      <c r="R633" s="93"/>
      <c r="S633" s="93"/>
      <c r="T633" s="93"/>
      <c r="U633" s="93"/>
      <c r="Z633" s="93"/>
      <c r="AA633" s="93"/>
      <c r="AC633" s="337" t="s">
        <v>367</v>
      </c>
      <c r="AD633" s="337" t="s">
        <v>205</v>
      </c>
      <c r="AE633" s="337">
        <v>320</v>
      </c>
      <c r="AF633" s="337">
        <v>32</v>
      </c>
      <c r="AH633" s="337" t="s">
        <v>312</v>
      </c>
      <c r="AI633" s="337" t="s">
        <v>313</v>
      </c>
      <c r="AJ633" s="337">
        <v>79.2</v>
      </c>
      <c r="AK633" s="337">
        <v>24</v>
      </c>
    </row>
    <row r="634" spans="1:37" x14ac:dyDescent="0.3">
      <c r="A634" s="511"/>
      <c r="B634" s="93"/>
      <c r="C634" s="93"/>
      <c r="D634" s="93"/>
      <c r="E634" s="93"/>
      <c r="F634" s="286"/>
      <c r="G634" s="93"/>
      <c r="H634" s="93"/>
      <c r="I634" s="93"/>
      <c r="J634" s="93"/>
      <c r="K634" s="93"/>
      <c r="L634" s="93"/>
      <c r="M634" s="333"/>
      <c r="N634" s="334"/>
      <c r="O634" s="93"/>
      <c r="P634" s="93"/>
      <c r="Q634" s="93"/>
      <c r="R634" s="93"/>
      <c r="S634" s="93"/>
      <c r="T634" s="93"/>
      <c r="U634" s="93"/>
      <c r="Z634" s="93"/>
      <c r="AA634" s="93"/>
      <c r="AC634" s="337" t="s">
        <v>1029</v>
      </c>
      <c r="AD634" s="337" t="s">
        <v>205</v>
      </c>
      <c r="AE634" s="337">
        <v>13</v>
      </c>
      <c r="AF634" s="337">
        <v>2</v>
      </c>
      <c r="AH634" s="337" t="s">
        <v>782</v>
      </c>
      <c r="AI634" s="337" t="s">
        <v>313</v>
      </c>
      <c r="AJ634" s="337">
        <v>14</v>
      </c>
      <c r="AK634" s="337">
        <v>4</v>
      </c>
    </row>
    <row r="635" spans="1:37" x14ac:dyDescent="0.3">
      <c r="A635" s="511"/>
      <c r="B635" s="93"/>
      <c r="C635" s="93"/>
      <c r="D635" s="93"/>
      <c r="E635" s="93"/>
      <c r="F635" s="286"/>
      <c r="G635" s="93"/>
      <c r="H635" s="93"/>
      <c r="I635" s="93"/>
      <c r="J635" s="93"/>
      <c r="K635" s="93"/>
      <c r="L635" s="93"/>
      <c r="M635" s="333"/>
      <c r="N635" s="334"/>
      <c r="O635" s="93"/>
      <c r="P635" s="93"/>
      <c r="Q635" s="93"/>
      <c r="R635" s="93"/>
      <c r="S635" s="93"/>
      <c r="T635" s="93"/>
      <c r="U635" s="93"/>
      <c r="Z635" s="93"/>
      <c r="AA635" s="93"/>
      <c r="AC635" s="337" t="s">
        <v>1030</v>
      </c>
      <c r="AD635" s="337" t="s">
        <v>205</v>
      </c>
      <c r="AE635" s="337">
        <v>19.8</v>
      </c>
      <c r="AF635" s="337">
        <v>11</v>
      </c>
      <c r="AH635" s="337" t="s">
        <v>783</v>
      </c>
      <c r="AI635" s="337" t="s">
        <v>313</v>
      </c>
      <c r="AJ635" s="337">
        <v>18</v>
      </c>
      <c r="AK635" s="337">
        <v>2</v>
      </c>
    </row>
    <row r="636" spans="1:37" x14ac:dyDescent="0.3">
      <c r="A636" s="511"/>
      <c r="B636" s="93"/>
      <c r="C636" s="93"/>
      <c r="D636" s="93"/>
      <c r="E636" s="93"/>
      <c r="F636" s="286"/>
      <c r="G636" s="93"/>
      <c r="H636" s="93"/>
      <c r="I636" s="93"/>
      <c r="J636" s="93"/>
      <c r="K636" s="93"/>
      <c r="L636" s="93"/>
      <c r="M636" s="333"/>
      <c r="N636" s="334"/>
      <c r="O636" s="93"/>
      <c r="P636" s="93"/>
      <c r="Q636" s="93"/>
      <c r="R636" s="93"/>
      <c r="S636" s="93"/>
      <c r="T636" s="93"/>
      <c r="U636" s="93"/>
      <c r="Z636" s="93"/>
      <c r="AA636" s="93"/>
      <c r="AC636" s="337" t="s">
        <v>178</v>
      </c>
      <c r="AD636" s="337" t="s">
        <v>205</v>
      </c>
      <c r="AE636" s="337">
        <v>33.6</v>
      </c>
      <c r="AF636" s="337">
        <v>8</v>
      </c>
      <c r="AH636" s="337" t="s">
        <v>314</v>
      </c>
      <c r="AI636" s="337" t="s">
        <v>313</v>
      </c>
      <c r="AJ636" s="337">
        <v>48</v>
      </c>
      <c r="AK636" s="337">
        <v>24</v>
      </c>
    </row>
    <row r="637" spans="1:37" x14ac:dyDescent="0.3">
      <c r="A637" s="511"/>
      <c r="B637" s="93"/>
      <c r="C637" s="93"/>
      <c r="D637" s="93"/>
      <c r="E637" s="93"/>
      <c r="F637" s="286"/>
      <c r="G637" s="93"/>
      <c r="H637" s="93"/>
      <c r="I637" s="93"/>
      <c r="J637" s="93"/>
      <c r="K637" s="93"/>
      <c r="L637" s="93"/>
      <c r="M637" s="333"/>
      <c r="N637" s="334"/>
      <c r="O637" s="93"/>
      <c r="P637" s="93"/>
      <c r="Q637" s="93"/>
      <c r="R637" s="93"/>
      <c r="S637" s="93"/>
      <c r="T637" s="93"/>
      <c r="U637" s="93"/>
      <c r="Z637" s="93"/>
      <c r="AA637" s="93"/>
      <c r="AC637" s="337" t="s">
        <v>850</v>
      </c>
      <c r="AD637" s="337" t="s">
        <v>205</v>
      </c>
      <c r="AE637" s="337">
        <v>44.5</v>
      </c>
      <c r="AF637" s="337">
        <v>20</v>
      </c>
      <c r="AH637" s="337" t="s">
        <v>371</v>
      </c>
      <c r="AI637" s="337" t="s">
        <v>313</v>
      </c>
      <c r="AJ637" s="337">
        <v>118.4</v>
      </c>
      <c r="AK637" s="337">
        <v>32</v>
      </c>
    </row>
    <row r="638" spans="1:37" x14ac:dyDescent="0.3">
      <c r="A638" s="511"/>
      <c r="B638" s="93"/>
      <c r="C638" s="93"/>
      <c r="D638" s="93"/>
      <c r="E638" s="93"/>
      <c r="F638" s="286"/>
      <c r="G638" s="93"/>
      <c r="H638" s="93"/>
      <c r="I638" s="93"/>
      <c r="J638" s="93"/>
      <c r="K638" s="93"/>
      <c r="L638" s="93"/>
      <c r="O638" s="93"/>
      <c r="P638" s="93"/>
      <c r="Q638" s="93"/>
      <c r="R638" s="93"/>
      <c r="S638" s="93"/>
      <c r="T638" s="93"/>
      <c r="U638" s="93"/>
      <c r="Z638" s="93"/>
      <c r="AA638" s="93"/>
      <c r="AC638" s="337" t="s">
        <v>700</v>
      </c>
      <c r="AD638" s="337" t="s">
        <v>205</v>
      </c>
      <c r="AE638" s="337">
        <v>27.6</v>
      </c>
      <c r="AF638" s="337">
        <v>12</v>
      </c>
      <c r="AH638" s="337" t="s">
        <v>786</v>
      </c>
      <c r="AI638" s="337" t="s">
        <v>313</v>
      </c>
      <c r="AJ638" s="337">
        <v>59.4</v>
      </c>
      <c r="AK638" s="337">
        <v>18</v>
      </c>
    </row>
    <row r="639" spans="1:37" x14ac:dyDescent="0.3">
      <c r="A639" s="511"/>
      <c r="B639" s="93"/>
      <c r="C639" s="93"/>
      <c r="D639" s="252"/>
      <c r="E639" s="93"/>
      <c r="F639" s="286"/>
      <c r="G639" s="93"/>
      <c r="H639" s="93"/>
      <c r="I639" s="93"/>
      <c r="J639" s="93"/>
      <c r="K639" s="93"/>
      <c r="L639" s="93"/>
      <c r="O639" s="93"/>
      <c r="P639" s="93"/>
      <c r="Q639" s="93"/>
      <c r="R639" s="93"/>
      <c r="S639" s="93"/>
      <c r="T639" s="93"/>
      <c r="U639" s="93"/>
      <c r="Z639" s="93"/>
      <c r="AA639" s="93"/>
      <c r="AC639" s="337" t="s">
        <v>1031</v>
      </c>
      <c r="AD639" s="337" t="s">
        <v>205</v>
      </c>
      <c r="AE639" s="337">
        <v>34</v>
      </c>
      <c r="AF639" s="337">
        <v>2</v>
      </c>
      <c r="AH639" s="337" t="s">
        <v>787</v>
      </c>
      <c r="AI639" s="337" t="s">
        <v>313</v>
      </c>
      <c r="AJ639" s="337">
        <v>99</v>
      </c>
      <c r="AK639" s="337">
        <v>20</v>
      </c>
    </row>
    <row r="640" spans="1:37" x14ac:dyDescent="0.3">
      <c r="A640" s="511"/>
      <c r="B640" s="93"/>
      <c r="C640" s="93"/>
      <c r="D640" s="252"/>
      <c r="E640" s="93"/>
      <c r="F640" s="286"/>
      <c r="G640" s="93"/>
      <c r="H640" s="93"/>
      <c r="I640" s="93"/>
      <c r="J640" s="93"/>
      <c r="K640" s="93"/>
      <c r="L640" s="93"/>
      <c r="O640" s="93"/>
      <c r="P640" s="93"/>
      <c r="Q640" s="93"/>
      <c r="R640" s="93"/>
      <c r="S640" s="93"/>
      <c r="T640" s="93"/>
      <c r="U640" s="93"/>
      <c r="Z640" s="93"/>
      <c r="AA640" s="93"/>
      <c r="AC640" s="337" t="s">
        <v>851</v>
      </c>
      <c r="AD640" s="337" t="s">
        <v>205</v>
      </c>
      <c r="AE640" s="337">
        <v>55</v>
      </c>
      <c r="AF640" s="337">
        <v>2</v>
      </c>
      <c r="AH640" s="337" t="s">
        <v>938</v>
      </c>
      <c r="AI640" s="337" t="s">
        <v>313</v>
      </c>
      <c r="AJ640" s="337">
        <v>128</v>
      </c>
      <c r="AK640" s="337">
        <v>10</v>
      </c>
    </row>
    <row r="641" spans="1:37" x14ac:dyDescent="0.3">
      <c r="A641" s="511"/>
      <c r="B641" s="93"/>
      <c r="C641" s="93"/>
      <c r="D641" s="252"/>
      <c r="E641" s="93"/>
      <c r="F641" s="286"/>
      <c r="G641" s="93"/>
      <c r="H641" s="93"/>
      <c r="I641" s="93"/>
      <c r="J641" s="93"/>
      <c r="K641" s="93"/>
      <c r="L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C641" s="337" t="s">
        <v>708</v>
      </c>
      <c r="AD641" s="337" t="s">
        <v>205</v>
      </c>
      <c r="AE641" s="337">
        <v>522</v>
      </c>
      <c r="AF641" s="337">
        <v>11</v>
      </c>
      <c r="AH641" s="337" t="s">
        <v>1046</v>
      </c>
      <c r="AI641" s="337" t="s">
        <v>313</v>
      </c>
      <c r="AJ641" s="337">
        <v>54.9</v>
      </c>
      <c r="AK641" s="337">
        <v>3</v>
      </c>
    </row>
    <row r="642" spans="1:37" x14ac:dyDescent="0.3">
      <c r="A642" s="511"/>
      <c r="B642" s="93"/>
      <c r="C642" s="93"/>
      <c r="D642" s="252"/>
      <c r="E642" s="93"/>
      <c r="F642" s="286"/>
      <c r="G642" s="252"/>
      <c r="H642" s="93"/>
      <c r="I642" s="93"/>
      <c r="J642" s="93"/>
      <c r="K642" s="93"/>
      <c r="L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C642" s="337" t="s">
        <v>712</v>
      </c>
      <c r="AD642" s="337" t="s">
        <v>713</v>
      </c>
      <c r="AE642" s="337">
        <v>72</v>
      </c>
      <c r="AF642" s="337">
        <v>4</v>
      </c>
      <c r="AH642" s="337" t="s">
        <v>940</v>
      </c>
      <c r="AI642" s="337" t="s">
        <v>941</v>
      </c>
      <c r="AJ642" s="337">
        <v>9</v>
      </c>
      <c r="AK642" s="337">
        <v>4</v>
      </c>
    </row>
    <row r="643" spans="1:37" x14ac:dyDescent="0.3">
      <c r="A643" s="511"/>
      <c r="B643" s="93"/>
      <c r="C643" s="93"/>
      <c r="D643" s="252"/>
      <c r="E643" s="93"/>
      <c r="F643" s="286"/>
      <c r="G643" s="252"/>
      <c r="H643" s="93"/>
      <c r="I643" s="93"/>
      <c r="J643" s="93"/>
      <c r="K643" s="93"/>
      <c r="L643" s="93"/>
      <c r="O643" s="93"/>
      <c r="P643" s="93"/>
      <c r="Q643" s="385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C643" s="337" t="s">
        <v>183</v>
      </c>
      <c r="AD643" s="337" t="s">
        <v>606</v>
      </c>
      <c r="AE643" s="337">
        <v>32</v>
      </c>
      <c r="AF643" s="337">
        <v>4</v>
      </c>
      <c r="AH643" s="337" t="s">
        <v>944</v>
      </c>
      <c r="AI643" s="337" t="s">
        <v>945</v>
      </c>
      <c r="AJ643" s="337">
        <v>10.8</v>
      </c>
      <c r="AK643" s="337">
        <v>6</v>
      </c>
    </row>
    <row r="644" spans="1:37" ht="17.399999999999999" x14ac:dyDescent="0.35">
      <c r="A644" s="511"/>
      <c r="B644" s="164"/>
      <c r="C644" s="164"/>
      <c r="D644" s="165"/>
      <c r="E644" s="164"/>
      <c r="F644" s="287"/>
      <c r="G644" s="164"/>
      <c r="H644" s="164"/>
      <c r="I644" s="164"/>
      <c r="J644" s="164"/>
      <c r="K644" s="164"/>
      <c r="L644" s="93"/>
      <c r="M644" s="93"/>
      <c r="N644" s="93"/>
      <c r="O644" s="93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  <c r="AA644" s="164"/>
      <c r="AC644" s="337" t="s">
        <v>1032</v>
      </c>
      <c r="AD644" s="337" t="s">
        <v>212</v>
      </c>
      <c r="AE644" s="337">
        <v>22.5</v>
      </c>
      <c r="AF644" s="337">
        <v>5</v>
      </c>
      <c r="AH644" s="337" t="s">
        <v>504</v>
      </c>
      <c r="AI644" s="337" t="s">
        <v>315</v>
      </c>
      <c r="AJ644" s="337">
        <v>352</v>
      </c>
      <c r="AK644" s="337">
        <v>64</v>
      </c>
    </row>
    <row r="645" spans="1:37" ht="17.399999999999999" x14ac:dyDescent="0.35">
      <c r="A645" s="511"/>
      <c r="B645" s="164"/>
      <c r="C645" s="164"/>
      <c r="D645" s="165"/>
      <c r="E645" s="164"/>
      <c r="F645" s="287"/>
      <c r="G645" s="164"/>
      <c r="H645" s="164"/>
      <c r="I645" s="164"/>
      <c r="J645" s="164"/>
      <c r="K645" s="164"/>
      <c r="L645" s="93"/>
      <c r="M645" s="93"/>
      <c r="N645" s="93"/>
      <c r="O645" s="93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  <c r="AA645" s="164"/>
      <c r="AC645" s="337" t="s">
        <v>213</v>
      </c>
      <c r="AD645" s="337" t="s">
        <v>212</v>
      </c>
      <c r="AE645" s="337">
        <v>302.5</v>
      </c>
      <c r="AF645" s="337">
        <v>55</v>
      </c>
      <c r="AH645" s="337" t="s">
        <v>951</v>
      </c>
      <c r="AI645" s="337" t="s">
        <v>948</v>
      </c>
      <c r="AJ645" s="339">
        <v>1938.6</v>
      </c>
      <c r="AK645" s="337">
        <v>6</v>
      </c>
    </row>
    <row r="646" spans="1:37" ht="17.399999999999999" x14ac:dyDescent="0.35">
      <c r="A646" s="511"/>
      <c r="B646" s="164"/>
      <c r="C646" s="164"/>
      <c r="D646" s="165"/>
      <c r="E646" s="164"/>
      <c r="F646" s="287"/>
      <c r="G646" s="164"/>
      <c r="H646" s="164"/>
      <c r="I646" s="164"/>
      <c r="J646" s="164"/>
      <c r="K646" s="164"/>
      <c r="L646" s="93"/>
      <c r="M646" s="93"/>
      <c r="N646" s="93"/>
      <c r="O646" s="93"/>
      <c r="P646" s="164"/>
      <c r="Q646" s="164"/>
      <c r="R646" s="164"/>
      <c r="S646" s="164"/>
      <c r="T646" s="164"/>
      <c r="U646" s="164"/>
      <c r="V646" s="164"/>
      <c r="W646" s="164"/>
      <c r="X646" s="93"/>
      <c r="Y646" s="164"/>
      <c r="Z646" s="164"/>
      <c r="AA646" s="164"/>
      <c r="AC646" s="337" t="s">
        <v>187</v>
      </c>
      <c r="AD646" s="337" t="s">
        <v>212</v>
      </c>
      <c r="AE646" s="337">
        <v>32</v>
      </c>
      <c r="AF646" s="337">
        <v>4</v>
      </c>
      <c r="AH646" s="337" t="s">
        <v>953</v>
      </c>
      <c r="AI646" s="337" t="s">
        <v>948</v>
      </c>
      <c r="AJ646" s="337">
        <v>14</v>
      </c>
      <c r="AK646" s="337">
        <v>2</v>
      </c>
    </row>
    <row r="647" spans="1:37" ht="17.399999999999999" x14ac:dyDescent="0.35">
      <c r="A647" s="511"/>
      <c r="B647" s="164"/>
      <c r="C647" s="164"/>
      <c r="D647" s="342">
        <f>SUM(D604:D630)</f>
        <v>214520.6</v>
      </c>
      <c r="E647" s="164"/>
      <c r="F647" s="287"/>
      <c r="G647" s="164"/>
      <c r="H647" s="164"/>
      <c r="I647" s="342">
        <f>SUM(I604:I625)</f>
        <v>168789</v>
      </c>
      <c r="J647" s="164"/>
      <c r="K647" s="164"/>
      <c r="L647" s="164"/>
      <c r="M647" s="164"/>
      <c r="N647" s="342">
        <f>SUM(N604:N622)</f>
        <v>67168</v>
      </c>
      <c r="O647" s="164"/>
      <c r="P647" s="164"/>
      <c r="Q647" s="164"/>
      <c r="R647" s="164"/>
      <c r="S647" s="342">
        <f>SUM(S604:S646)</f>
        <v>116716.12</v>
      </c>
      <c r="T647" s="164"/>
      <c r="U647" s="164"/>
      <c r="V647" s="164"/>
      <c r="W647" s="164"/>
      <c r="X647" s="93"/>
      <c r="Y647" s="164"/>
      <c r="Z647" s="164"/>
      <c r="AA647" s="164"/>
      <c r="AC647" s="337" t="s">
        <v>725</v>
      </c>
      <c r="AD647" s="337" t="s">
        <v>726</v>
      </c>
      <c r="AE647" s="337">
        <v>235.2</v>
      </c>
      <c r="AF647" s="337">
        <v>14</v>
      </c>
      <c r="AH647" s="337" t="s">
        <v>791</v>
      </c>
      <c r="AI647" s="337" t="s">
        <v>792</v>
      </c>
      <c r="AJ647" s="337">
        <v>7.2</v>
      </c>
      <c r="AK647" s="337">
        <v>4</v>
      </c>
    </row>
    <row r="648" spans="1:37" ht="17.399999999999999" x14ac:dyDescent="0.35">
      <c r="A648" s="511"/>
      <c r="B648" s="164"/>
      <c r="C648" s="164"/>
      <c r="D648" s="164"/>
      <c r="E648" s="164"/>
      <c r="F648" s="287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93"/>
      <c r="Y648" s="164"/>
      <c r="Z648" s="164"/>
      <c r="AA648" s="164"/>
      <c r="AC648" s="337" t="s">
        <v>1033</v>
      </c>
      <c r="AD648" s="337" t="s">
        <v>726</v>
      </c>
      <c r="AE648" s="337">
        <v>90</v>
      </c>
      <c r="AF648" s="337">
        <v>2</v>
      </c>
      <c r="AH648" s="337" t="s">
        <v>793</v>
      </c>
      <c r="AI648" s="337" t="s">
        <v>794</v>
      </c>
      <c r="AJ648" s="337">
        <v>7.2</v>
      </c>
      <c r="AK648" s="337">
        <v>4</v>
      </c>
    </row>
    <row r="649" spans="1:37" ht="17.399999999999999" x14ac:dyDescent="0.35">
      <c r="A649" s="511"/>
      <c r="B649" s="164"/>
      <c r="C649" s="164"/>
      <c r="D649" s="164"/>
      <c r="E649" s="164"/>
      <c r="F649" s="287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  <c r="AA649" s="164"/>
      <c r="AC649" s="337" t="s">
        <v>727</v>
      </c>
      <c r="AD649" s="337" t="s">
        <v>728</v>
      </c>
      <c r="AE649" s="337">
        <v>21.6</v>
      </c>
      <c r="AF649" s="337">
        <v>2</v>
      </c>
      <c r="AH649" s="337" t="s">
        <v>1047</v>
      </c>
      <c r="AI649" s="337" t="s">
        <v>1048</v>
      </c>
      <c r="AJ649" s="337">
        <v>5</v>
      </c>
      <c r="AK649" s="337">
        <v>1</v>
      </c>
    </row>
    <row r="650" spans="1:37" ht="17.399999999999999" x14ac:dyDescent="0.35">
      <c r="A650" s="511"/>
      <c r="B650" s="164"/>
      <c r="C650" s="343"/>
      <c r="D650" s="522" t="s">
        <v>219</v>
      </c>
      <c r="E650" s="523"/>
      <c r="F650" s="524" t="s">
        <v>220</v>
      </c>
      <c r="G650" s="524"/>
      <c r="H650" s="524" t="s">
        <v>221</v>
      </c>
      <c r="I650" s="524"/>
      <c r="J650" s="524" t="s">
        <v>222</v>
      </c>
      <c r="K650" s="524"/>
      <c r="L650" s="522" t="s">
        <v>223</v>
      </c>
      <c r="M650" s="523"/>
      <c r="N650" s="524" t="s">
        <v>224</v>
      </c>
      <c r="O650" s="524"/>
      <c r="P650" s="524" t="s">
        <v>225</v>
      </c>
      <c r="Q650" s="524"/>
      <c r="R650" s="524" t="s">
        <v>226</v>
      </c>
      <c r="S650" s="524"/>
      <c r="T650" s="524" t="s">
        <v>227</v>
      </c>
      <c r="U650" s="524"/>
      <c r="V650" s="524" t="s">
        <v>228</v>
      </c>
      <c r="W650" s="524"/>
      <c r="X650" s="524" t="s">
        <v>229</v>
      </c>
      <c r="Y650" s="524"/>
      <c r="Z650" s="524" t="s">
        <v>230</v>
      </c>
      <c r="AA650" s="524"/>
      <c r="AC650" s="337" t="s">
        <v>1034</v>
      </c>
      <c r="AD650" s="337" t="s">
        <v>731</v>
      </c>
      <c r="AE650" s="337">
        <v>130</v>
      </c>
      <c r="AF650" s="337">
        <v>10</v>
      </c>
      <c r="AH650" s="337" t="s">
        <v>797</v>
      </c>
      <c r="AI650" s="337" t="s">
        <v>798</v>
      </c>
      <c r="AJ650" s="337">
        <v>11.6</v>
      </c>
      <c r="AK650" s="337">
        <v>4</v>
      </c>
    </row>
    <row r="651" spans="1:37" ht="17.399999999999999" x14ac:dyDescent="0.35">
      <c r="A651" s="511"/>
      <c r="B651" s="164"/>
      <c r="C651" s="344" t="s">
        <v>233</v>
      </c>
      <c r="D651" s="345">
        <v>124163</v>
      </c>
      <c r="E651" s="345">
        <f>D651/60</f>
        <v>2069.3833333333332</v>
      </c>
      <c r="F651" s="346">
        <v>226382</v>
      </c>
      <c r="G651" s="345">
        <v>3773.0333333333333</v>
      </c>
      <c r="H651" s="347">
        <v>262601</v>
      </c>
      <c r="I651" s="345">
        <f>H651/60</f>
        <v>4376.6833333333334</v>
      </c>
      <c r="J651" s="347">
        <v>221316</v>
      </c>
      <c r="K651" s="345">
        <f>J651/60</f>
        <v>3688.6</v>
      </c>
      <c r="L651" s="348">
        <v>205093</v>
      </c>
      <c r="M651" s="345">
        <f>L651/60</f>
        <v>3418.2166666666667</v>
      </c>
      <c r="N651" s="349">
        <v>224145</v>
      </c>
      <c r="O651" s="345">
        <v>3735.75</v>
      </c>
      <c r="P651" s="349">
        <f>I647</f>
        <v>168789</v>
      </c>
      <c r="Q651" s="345">
        <f>P651/60</f>
        <v>2813.15</v>
      </c>
      <c r="R651" s="349"/>
      <c r="S651" s="345">
        <f>R651/60</f>
        <v>0</v>
      </c>
      <c r="T651" s="349"/>
      <c r="U651" s="343"/>
      <c r="V651" s="349"/>
      <c r="W651" s="343"/>
      <c r="X651" s="349"/>
      <c r="Y651" s="343"/>
      <c r="Z651" s="349"/>
      <c r="AA651" s="343"/>
      <c r="AC651" s="337" t="s">
        <v>730</v>
      </c>
      <c r="AD651" s="337" t="s">
        <v>731</v>
      </c>
      <c r="AE651" s="337">
        <v>28</v>
      </c>
      <c r="AF651" s="337">
        <v>4</v>
      </c>
    </row>
    <row r="652" spans="1:37" ht="17.399999999999999" x14ac:dyDescent="0.35">
      <c r="A652" s="511"/>
      <c r="B652" s="164"/>
      <c r="C652" s="344" t="s">
        <v>234</v>
      </c>
      <c r="D652" s="345">
        <v>172515.20000000001</v>
      </c>
      <c r="E652" s="345">
        <f>D652/60</f>
        <v>2875.2533333333336</v>
      </c>
      <c r="F652" s="346">
        <v>201945.40000000002</v>
      </c>
      <c r="G652" s="345">
        <v>3365.7566666666671</v>
      </c>
      <c r="H652" s="347">
        <v>229855</v>
      </c>
      <c r="I652" s="345">
        <f t="shared" ref="I652:I656" si="116">H652/60</f>
        <v>3830.9166666666665</v>
      </c>
      <c r="J652" s="347">
        <v>286666.40000000002</v>
      </c>
      <c r="K652" s="345">
        <f t="shared" ref="K652:K656" si="117">J652/60</f>
        <v>4777.7733333333335</v>
      </c>
      <c r="L652" s="349">
        <v>287992.19999999995</v>
      </c>
      <c r="M652" s="345">
        <f t="shared" ref="M652:M654" si="118">L652/60</f>
        <v>4799.869999999999</v>
      </c>
      <c r="N652" s="349">
        <v>323495.40000000002</v>
      </c>
      <c r="O652" s="345">
        <v>5391.59</v>
      </c>
      <c r="P652" s="349">
        <f>D647</f>
        <v>214520.6</v>
      </c>
      <c r="Q652" s="345">
        <f t="shared" ref="Q652:Q656" si="119">P652/60</f>
        <v>3575.3433333333332</v>
      </c>
      <c r="R652" s="349"/>
      <c r="S652" s="345">
        <f t="shared" ref="S652:S656" si="120">R652/60</f>
        <v>0</v>
      </c>
      <c r="T652" s="349"/>
      <c r="U652" s="343"/>
      <c r="V652" s="349"/>
      <c r="W652" s="343"/>
      <c r="X652" s="343"/>
      <c r="Y652" s="343"/>
      <c r="Z652" s="349"/>
      <c r="AA652" s="343"/>
      <c r="AC652" s="337" t="s">
        <v>1035</v>
      </c>
      <c r="AD652" s="337" t="s">
        <v>650</v>
      </c>
      <c r="AE652" s="337">
        <v>9</v>
      </c>
      <c r="AF652" s="337">
        <v>2</v>
      </c>
    </row>
    <row r="653" spans="1:37" ht="17.399999999999999" x14ac:dyDescent="0.35">
      <c r="A653" s="511"/>
      <c r="B653" s="164"/>
      <c r="C653" s="344" t="s">
        <v>236</v>
      </c>
      <c r="D653" s="345">
        <v>157647.1</v>
      </c>
      <c r="E653" s="345">
        <f t="shared" ref="E653:E655" si="121">D653/60</f>
        <v>2627.4516666666668</v>
      </c>
      <c r="F653" s="346">
        <v>173546</v>
      </c>
      <c r="G653" s="345">
        <v>2892.4333333333334</v>
      </c>
      <c r="H653" s="347">
        <v>231552.7</v>
      </c>
      <c r="I653" s="345">
        <f t="shared" si="116"/>
        <v>3859.211666666667</v>
      </c>
      <c r="J653" s="347">
        <v>249952</v>
      </c>
      <c r="K653" s="345">
        <f t="shared" si="117"/>
        <v>4165.8666666666668</v>
      </c>
      <c r="L653" s="349">
        <v>187220</v>
      </c>
      <c r="M653" s="345">
        <f t="shared" si="118"/>
        <v>3120.3333333333335</v>
      </c>
      <c r="N653" s="349">
        <v>185284.84</v>
      </c>
      <c r="O653" s="345">
        <v>3088.0806666666667</v>
      </c>
      <c r="P653" s="349">
        <f>S647</f>
        <v>116716.12</v>
      </c>
      <c r="Q653" s="345">
        <f t="shared" si="119"/>
        <v>1945.2686666666666</v>
      </c>
      <c r="R653" s="349"/>
      <c r="S653" s="345">
        <f t="shared" si="120"/>
        <v>0</v>
      </c>
      <c r="T653" s="349"/>
      <c r="U653" s="343"/>
      <c r="V653" s="349"/>
      <c r="W653" s="343"/>
      <c r="X653" s="343"/>
      <c r="Y653" s="343"/>
      <c r="Z653" s="349"/>
      <c r="AA653" s="343"/>
      <c r="AC653" s="337" t="s">
        <v>1036</v>
      </c>
      <c r="AD653" s="337" t="s">
        <v>650</v>
      </c>
      <c r="AE653" s="337">
        <v>4.5</v>
      </c>
      <c r="AF653" s="337">
        <v>1</v>
      </c>
    </row>
    <row r="654" spans="1:37" ht="17.399999999999999" x14ac:dyDescent="0.35">
      <c r="A654" s="511"/>
      <c r="B654" s="164"/>
      <c r="C654" s="344" t="s">
        <v>237</v>
      </c>
      <c r="D654" s="345">
        <v>74670</v>
      </c>
      <c r="E654" s="345">
        <f t="shared" si="121"/>
        <v>1244.5</v>
      </c>
      <c r="F654" s="346">
        <v>96006.8</v>
      </c>
      <c r="G654" s="345">
        <v>1600.1133333333335</v>
      </c>
      <c r="H654" s="347">
        <v>138906.20000000001</v>
      </c>
      <c r="I654" s="345">
        <f t="shared" si="116"/>
        <v>2315.1033333333335</v>
      </c>
      <c r="J654" s="347">
        <v>95281.8</v>
      </c>
      <c r="K654" s="345">
        <f t="shared" si="117"/>
        <v>1588.03</v>
      </c>
      <c r="L654" s="349">
        <v>81555</v>
      </c>
      <c r="M654" s="345">
        <f t="shared" si="118"/>
        <v>1359.25</v>
      </c>
      <c r="N654" s="349">
        <v>76820.800000000003</v>
      </c>
      <c r="O654" s="345">
        <v>1280.3466666666668</v>
      </c>
      <c r="P654" s="349">
        <f>N647</f>
        <v>67168</v>
      </c>
      <c r="Q654" s="345">
        <f t="shared" si="119"/>
        <v>1119.4666666666667</v>
      </c>
      <c r="R654" s="349"/>
      <c r="S654" s="345">
        <f t="shared" si="120"/>
        <v>0</v>
      </c>
      <c r="T654" s="349"/>
      <c r="U654" s="343"/>
      <c r="V654" s="349"/>
      <c r="W654" s="343"/>
      <c r="X654" s="343"/>
      <c r="Y654" s="343"/>
      <c r="Z654" s="349"/>
      <c r="AA654" s="343"/>
      <c r="AC654" s="337" t="s">
        <v>418</v>
      </c>
      <c r="AD654" s="337" t="s">
        <v>347</v>
      </c>
      <c r="AE654" s="337">
        <v>336</v>
      </c>
      <c r="AF654" s="337">
        <v>48</v>
      </c>
    </row>
    <row r="655" spans="1:37" ht="17.399999999999999" x14ac:dyDescent="0.35">
      <c r="A655" s="511"/>
      <c r="B655" s="164"/>
      <c r="C655" s="344" t="s">
        <v>238</v>
      </c>
      <c r="D655" s="345">
        <v>6660.85</v>
      </c>
      <c r="E655" s="345">
        <f t="shared" si="121"/>
        <v>111.01416666666667</v>
      </c>
      <c r="F655" s="346">
        <v>46265.5</v>
      </c>
      <c r="G655" s="345">
        <v>771.0916666666667</v>
      </c>
      <c r="H655" s="347">
        <v>90103.58</v>
      </c>
      <c r="I655" s="345">
        <f t="shared" si="116"/>
        <v>1501.7263333333333</v>
      </c>
      <c r="J655" s="347">
        <v>81565.8</v>
      </c>
      <c r="K655" s="345">
        <f t="shared" si="117"/>
        <v>1359.43</v>
      </c>
      <c r="L655" s="351">
        <v>19857.829999999998</v>
      </c>
      <c r="M655" s="345">
        <f>L655/60</f>
        <v>330.9638333333333</v>
      </c>
      <c r="N655" s="351"/>
      <c r="O655" s="345">
        <v>0</v>
      </c>
      <c r="P655" s="351"/>
      <c r="Q655" s="345">
        <f t="shared" si="119"/>
        <v>0</v>
      </c>
      <c r="R655" s="351"/>
      <c r="S655" s="345">
        <f t="shared" si="120"/>
        <v>0</v>
      </c>
      <c r="T655" s="351"/>
      <c r="U655" s="343"/>
      <c r="V655" s="351"/>
      <c r="W655" s="343"/>
      <c r="X655" s="350"/>
      <c r="Y655" s="343"/>
      <c r="Z655" s="350"/>
      <c r="AA655" s="343"/>
      <c r="AC655" s="337" t="s">
        <v>168</v>
      </c>
      <c r="AD655" s="337" t="s">
        <v>348</v>
      </c>
      <c r="AE655" s="339">
        <v>1644.1</v>
      </c>
      <c r="AF655" s="337">
        <v>505</v>
      </c>
    </row>
    <row r="656" spans="1:37" ht="17.399999999999999" x14ac:dyDescent="0.35">
      <c r="A656" s="511"/>
      <c r="B656" s="265"/>
      <c r="C656" s="344" t="s">
        <v>239</v>
      </c>
      <c r="D656" s="345">
        <v>3672</v>
      </c>
      <c r="E656" s="345">
        <f>D656/60</f>
        <v>61.2</v>
      </c>
      <c r="F656" s="346">
        <v>72295.34</v>
      </c>
      <c r="G656" s="345">
        <v>1204.9223333333332</v>
      </c>
      <c r="H656" s="347">
        <v>69349.39999999998</v>
      </c>
      <c r="I656" s="345">
        <f t="shared" si="116"/>
        <v>1155.823333333333</v>
      </c>
      <c r="J656" s="347">
        <v>60896.53</v>
      </c>
      <c r="K656" s="345">
        <f t="shared" si="117"/>
        <v>1014.9421666666666</v>
      </c>
      <c r="L656" s="347">
        <v>35794.719999999994</v>
      </c>
      <c r="M656" s="345">
        <f t="shared" ref="M656" si="122">L656/60</f>
        <v>596.57866666666655</v>
      </c>
      <c r="N656" s="347"/>
      <c r="O656" s="345">
        <v>0</v>
      </c>
      <c r="P656" s="343">
        <f>AJ663</f>
        <v>37987.25</v>
      </c>
      <c r="Q656" s="345">
        <f t="shared" si="119"/>
        <v>633.12083333333328</v>
      </c>
      <c r="R656" s="343"/>
      <c r="S656" s="345">
        <f t="shared" si="120"/>
        <v>0</v>
      </c>
      <c r="T656" s="343"/>
      <c r="U656" s="343"/>
      <c r="V656" s="343"/>
      <c r="W656" s="343"/>
      <c r="X656" s="343"/>
      <c r="Y656" s="343"/>
      <c r="Z656" s="343"/>
      <c r="AA656" s="343"/>
      <c r="AC656" s="337" t="s">
        <v>1037</v>
      </c>
      <c r="AD656" s="337" t="s">
        <v>1002</v>
      </c>
      <c r="AE656" s="337">
        <v>21</v>
      </c>
      <c r="AF656" s="337">
        <v>1</v>
      </c>
    </row>
    <row r="657" spans="1:36" ht="17.399999999999999" x14ac:dyDescent="0.35">
      <c r="A657" s="511"/>
      <c r="B657" s="164"/>
      <c r="C657" s="162"/>
      <c r="D657" s="163"/>
      <c r="E657" s="352">
        <f>SUM(E651:E656)</f>
        <v>8988.8024999999998</v>
      </c>
      <c r="F657" s="353"/>
      <c r="G657" s="352">
        <f>SUM(G651:G656)</f>
        <v>13607.350666666669</v>
      </c>
      <c r="H657" s="347"/>
      <c r="I657" s="352">
        <f>SUM(I651:I656)</f>
        <v>17039.464666666667</v>
      </c>
      <c r="J657" s="347"/>
      <c r="K657" s="352">
        <f>SUM(K651:K656)</f>
        <v>16594.642166666668</v>
      </c>
      <c r="L657" s="343"/>
      <c r="M657" s="352">
        <f>SUM(M651:M656)</f>
        <v>13625.2125</v>
      </c>
      <c r="N657" s="343"/>
      <c r="O657" s="352">
        <v>13495.767333333333</v>
      </c>
      <c r="P657" s="343"/>
      <c r="Q657" s="375">
        <f>SUM(Q651:Q656)</f>
        <v>10086.3495</v>
      </c>
      <c r="R657" s="343"/>
      <c r="S657" s="352">
        <f>SUM(S651:S656)</f>
        <v>0</v>
      </c>
      <c r="T657" s="343"/>
      <c r="U657" s="354"/>
      <c r="V657" s="343"/>
      <c r="W657" s="354"/>
      <c r="X657" s="343"/>
      <c r="Y657" s="354"/>
      <c r="Z657" s="343"/>
      <c r="AA657" s="356"/>
      <c r="AC657" s="337" t="s">
        <v>1001</v>
      </c>
      <c r="AD657" s="337" t="s">
        <v>1002</v>
      </c>
      <c r="AE657" s="337">
        <v>32</v>
      </c>
      <c r="AF657" s="337">
        <v>4</v>
      </c>
    </row>
    <row r="658" spans="1:36" ht="17.399999999999999" x14ac:dyDescent="0.35">
      <c r="A658" s="511"/>
      <c r="B658" s="164"/>
      <c r="C658" s="164"/>
      <c r="D658" s="164"/>
      <c r="E658" s="164"/>
      <c r="F658" s="287"/>
      <c r="G658" s="164"/>
      <c r="H658" s="164"/>
      <c r="I658" s="164"/>
      <c r="J658" s="164"/>
      <c r="K658" s="164"/>
      <c r="L658" s="164"/>
      <c r="M658" s="165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  <c r="AA658" s="164"/>
      <c r="AC658" s="337" t="s">
        <v>1038</v>
      </c>
      <c r="AD658" s="337" t="s">
        <v>1004</v>
      </c>
      <c r="AE658" s="337">
        <v>21</v>
      </c>
      <c r="AF658" s="337">
        <v>1</v>
      </c>
    </row>
    <row r="659" spans="1:36" x14ac:dyDescent="0.3">
      <c r="A659" s="511"/>
      <c r="B659" s="93"/>
      <c r="C659" s="93"/>
      <c r="D659" s="93"/>
      <c r="E659" s="93"/>
      <c r="F659" s="286"/>
      <c r="G659" s="93"/>
      <c r="H659" s="93"/>
      <c r="I659" s="93"/>
      <c r="J659" s="93"/>
      <c r="K659" s="93"/>
      <c r="L659" s="93"/>
      <c r="M659" s="93"/>
      <c r="N659" s="252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C659" s="337" t="s">
        <v>1003</v>
      </c>
      <c r="AD659" s="337" t="s">
        <v>1004</v>
      </c>
      <c r="AE659" s="337">
        <v>32</v>
      </c>
      <c r="AF659" s="337">
        <v>4</v>
      </c>
    </row>
    <row r="660" spans="1:36" x14ac:dyDescent="0.3">
      <c r="A660" s="511"/>
      <c r="B660" s="93"/>
      <c r="C660" s="93"/>
      <c r="D660" s="93"/>
      <c r="E660" s="93"/>
      <c r="F660" s="286"/>
      <c r="G660" s="93"/>
      <c r="H660" s="93"/>
      <c r="I660" s="93"/>
      <c r="J660" s="93"/>
      <c r="K660" s="93"/>
      <c r="L660" s="208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C660" s="337" t="s">
        <v>392</v>
      </c>
      <c r="AD660" s="337" t="s">
        <v>393</v>
      </c>
      <c r="AE660" s="337">
        <v>96</v>
      </c>
      <c r="AF660" s="337">
        <v>24</v>
      </c>
    </row>
    <row r="661" spans="1:36" x14ac:dyDescent="0.3">
      <c r="A661" s="511"/>
      <c r="B661" s="93"/>
      <c r="C661" s="93"/>
      <c r="D661" s="93"/>
      <c r="E661" s="93"/>
      <c r="F661" s="286"/>
      <c r="G661" s="93"/>
      <c r="H661" s="93"/>
      <c r="I661" s="93"/>
      <c r="J661" s="93"/>
      <c r="K661" s="93"/>
      <c r="L661" s="208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C661" s="337" t="s">
        <v>240</v>
      </c>
      <c r="AD661" s="337" t="s">
        <v>560</v>
      </c>
      <c r="AE661" s="337">
        <v>336</v>
      </c>
      <c r="AF661" s="337">
        <v>560</v>
      </c>
    </row>
    <row r="662" spans="1:36" ht="15" thickBot="1" x14ac:dyDescent="0.35">
      <c r="A662" s="511"/>
      <c r="B662" s="93"/>
      <c r="C662" s="93"/>
      <c r="D662" s="93"/>
      <c r="E662" s="93"/>
      <c r="F662" s="286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C662" s="337" t="s">
        <v>854</v>
      </c>
      <c r="AD662" s="337" t="s">
        <v>560</v>
      </c>
      <c r="AE662" s="337">
        <v>104</v>
      </c>
      <c r="AF662" s="337">
        <v>13</v>
      </c>
    </row>
    <row r="663" spans="1:36" ht="31.8" thickBot="1" x14ac:dyDescent="0.65">
      <c r="A663" s="511"/>
      <c r="B663" s="525" t="s">
        <v>246</v>
      </c>
      <c r="C663" s="525"/>
      <c r="D663" s="525"/>
      <c r="E663" s="525"/>
      <c r="F663" s="525"/>
      <c r="G663" s="525"/>
      <c r="H663" s="525"/>
      <c r="I663" s="525"/>
      <c r="J663" s="525"/>
      <c r="K663" s="525"/>
      <c r="L663" s="525"/>
      <c r="M663" s="525"/>
      <c r="N663" s="525"/>
      <c r="O663" s="525"/>
      <c r="P663" s="525"/>
      <c r="Q663" s="525"/>
      <c r="R663" s="525"/>
      <c r="S663" s="525"/>
      <c r="T663" s="525"/>
      <c r="U663" s="525"/>
      <c r="V663" s="525"/>
      <c r="W663" s="525"/>
      <c r="X663" s="525"/>
      <c r="Y663" s="525"/>
      <c r="Z663" s="525"/>
      <c r="AA663" s="526"/>
      <c r="AC663" s="337" t="s">
        <v>950</v>
      </c>
      <c r="AD663" s="337" t="s">
        <v>456</v>
      </c>
      <c r="AE663" s="337">
        <v>18.2</v>
      </c>
      <c r="AF663" s="337">
        <v>1</v>
      </c>
      <c r="AJ663" s="443">
        <f>SUM(AE604:AE684,AJ604:AJ650)</f>
        <v>37987.25</v>
      </c>
    </row>
    <row r="664" spans="1:36" ht="17.399999999999999" thickBot="1" x14ac:dyDescent="0.35">
      <c r="A664" s="511"/>
      <c r="B664" s="527"/>
      <c r="C664" s="527"/>
      <c r="D664" s="166" t="s">
        <v>247</v>
      </c>
      <c r="E664" s="167" t="s">
        <v>248</v>
      </c>
      <c r="F664" s="374" t="s">
        <v>249</v>
      </c>
      <c r="G664" s="167" t="s">
        <v>250</v>
      </c>
      <c r="H664" s="166" t="s">
        <v>251</v>
      </c>
      <c r="I664" s="167" t="s">
        <v>252</v>
      </c>
      <c r="J664" s="166" t="s">
        <v>253</v>
      </c>
      <c r="K664" s="167" t="s">
        <v>254</v>
      </c>
      <c r="L664" s="166" t="s">
        <v>255</v>
      </c>
      <c r="M664" s="167" t="s">
        <v>256</v>
      </c>
      <c r="N664" s="168" t="s">
        <v>257</v>
      </c>
      <c r="O664" s="169" t="s">
        <v>258</v>
      </c>
      <c r="P664" s="166" t="s">
        <v>259</v>
      </c>
      <c r="Q664" s="167" t="s">
        <v>260</v>
      </c>
      <c r="R664" s="166" t="s">
        <v>261</v>
      </c>
      <c r="S664" s="167" t="s">
        <v>262</v>
      </c>
      <c r="T664" s="166" t="s">
        <v>263</v>
      </c>
      <c r="U664" s="166" t="s">
        <v>264</v>
      </c>
      <c r="V664" s="166" t="s">
        <v>265</v>
      </c>
      <c r="W664" s="170" t="s">
        <v>266</v>
      </c>
      <c r="X664" s="166" t="s">
        <v>267</v>
      </c>
      <c r="Y664" s="170" t="s">
        <v>268</v>
      </c>
      <c r="Z664" s="166" t="s">
        <v>269</v>
      </c>
      <c r="AA664" s="170" t="s">
        <v>270</v>
      </c>
      <c r="AC664" s="337" t="s">
        <v>741</v>
      </c>
      <c r="AD664" s="337" t="s">
        <v>242</v>
      </c>
      <c r="AE664" s="337">
        <v>192.08</v>
      </c>
      <c r="AF664" s="337">
        <v>7</v>
      </c>
    </row>
    <row r="665" spans="1:36" ht="17.399999999999999" x14ac:dyDescent="0.35">
      <c r="A665" s="511"/>
      <c r="B665" s="357">
        <v>110012</v>
      </c>
      <c r="C665" s="171" t="s">
        <v>272</v>
      </c>
      <c r="D665" s="372">
        <v>707750.65</v>
      </c>
      <c r="E665" s="204">
        <f>D665/60</f>
        <v>11795.844166666668</v>
      </c>
      <c r="F665" s="372">
        <v>953892</v>
      </c>
      <c r="G665" s="204">
        <f>F665/60</f>
        <v>15898.2</v>
      </c>
      <c r="H665" s="372">
        <v>1116136.94</v>
      </c>
      <c r="I665" s="204">
        <f>H665/60</f>
        <v>18602.282333333333</v>
      </c>
      <c r="J665" s="372">
        <v>995678.48999999976</v>
      </c>
      <c r="K665" s="376">
        <f>J665/60</f>
        <v>16594.641499999994</v>
      </c>
      <c r="L665" s="172">
        <v>817512.75</v>
      </c>
      <c r="M665" s="423">
        <f>L665/60</f>
        <v>13625.2125</v>
      </c>
      <c r="N665" s="176">
        <v>927112.95</v>
      </c>
      <c r="O665" s="173">
        <f>N665/60</f>
        <v>15451.8825</v>
      </c>
      <c r="P665" s="176">
        <v>605180.7900000005</v>
      </c>
      <c r="Q665" s="376">
        <f>P665/60</f>
        <v>10086.346500000009</v>
      </c>
      <c r="R665" s="176"/>
      <c r="S665" s="173">
        <f>R665/60</f>
        <v>0</v>
      </c>
      <c r="T665" s="176"/>
      <c r="U665" s="173">
        <f>T665/60</f>
        <v>0</v>
      </c>
      <c r="V665" s="176"/>
      <c r="W665" s="173">
        <f>V665/60</f>
        <v>0</v>
      </c>
      <c r="X665" s="176"/>
      <c r="Y665" s="173">
        <f>X665/60</f>
        <v>0</v>
      </c>
      <c r="Z665" s="176"/>
      <c r="AA665" s="173">
        <f>Z665/60</f>
        <v>0</v>
      </c>
      <c r="AC665" s="337" t="s">
        <v>245</v>
      </c>
      <c r="AD665" s="337" t="s">
        <v>242</v>
      </c>
      <c r="AE665" s="337">
        <v>553.6</v>
      </c>
      <c r="AF665" s="337">
        <v>9</v>
      </c>
    </row>
    <row r="666" spans="1:36" ht="17.399999999999999" x14ac:dyDescent="0.35">
      <c r="A666" s="511"/>
      <c r="B666" s="412">
        <v>1104111</v>
      </c>
      <c r="C666" s="413" t="s">
        <v>1015</v>
      </c>
      <c r="D666" s="372"/>
      <c r="E666" s="414"/>
      <c r="F666" s="372"/>
      <c r="G666" s="414"/>
      <c r="H666" s="372"/>
      <c r="I666" s="414"/>
      <c r="J666" s="372"/>
      <c r="K666" s="415"/>
      <c r="L666" s="416"/>
      <c r="M666" s="422"/>
      <c r="N666" s="417">
        <v>16328.2</v>
      </c>
      <c r="O666" s="184">
        <f>N666/60</f>
        <v>272.13666666666666</v>
      </c>
      <c r="P666" s="417">
        <v>22111.600000000002</v>
      </c>
      <c r="Q666" s="184">
        <f t="shared" ref="Q666:Q668" si="123">P666/60</f>
        <v>368.5266666666667</v>
      </c>
      <c r="R666" s="417"/>
      <c r="S666" s="184"/>
      <c r="T666" s="417"/>
      <c r="U666" s="184"/>
      <c r="V666" s="417"/>
      <c r="W666" s="184"/>
      <c r="X666" s="417"/>
      <c r="Y666" s="184"/>
      <c r="Z666" s="417"/>
      <c r="AA666" s="184"/>
      <c r="AC666" s="337" t="s">
        <v>857</v>
      </c>
      <c r="AD666" s="337" t="s">
        <v>242</v>
      </c>
      <c r="AE666" s="339">
        <v>1019.7</v>
      </c>
      <c r="AF666" s="337">
        <v>17</v>
      </c>
    </row>
    <row r="667" spans="1:36" ht="17.399999999999999" x14ac:dyDescent="0.35">
      <c r="A667" s="511"/>
      <c r="B667" s="412">
        <v>1104110</v>
      </c>
      <c r="C667" s="413" t="s">
        <v>1016</v>
      </c>
      <c r="D667" s="372"/>
      <c r="E667" s="414"/>
      <c r="F667" s="372"/>
      <c r="G667" s="414"/>
      <c r="H667" s="372"/>
      <c r="I667" s="414"/>
      <c r="J667" s="372"/>
      <c r="K667" s="415"/>
      <c r="L667" s="416"/>
      <c r="M667" s="422"/>
      <c r="N667" s="429"/>
      <c r="O667" s="184">
        <f t="shared" ref="O667:O668" si="124">N667/60</f>
        <v>0</v>
      </c>
      <c r="P667" s="429">
        <v>424.5</v>
      </c>
      <c r="Q667" s="184">
        <f t="shared" si="123"/>
        <v>7.0750000000000002</v>
      </c>
      <c r="R667" s="417"/>
      <c r="S667" s="184"/>
      <c r="T667" s="417"/>
      <c r="U667" s="184"/>
      <c r="V667" s="417"/>
      <c r="W667" s="184"/>
      <c r="X667" s="417"/>
      <c r="Y667" s="184"/>
      <c r="Z667" s="417"/>
      <c r="AA667" s="184"/>
      <c r="AC667" s="337" t="s">
        <v>858</v>
      </c>
      <c r="AD667" s="337" t="s">
        <v>242</v>
      </c>
      <c r="AE667" s="339">
        <v>1219.8</v>
      </c>
      <c r="AF667" s="337">
        <v>18</v>
      </c>
    </row>
    <row r="668" spans="1:36" ht="17.399999999999999" x14ac:dyDescent="0.35">
      <c r="A668" s="511"/>
      <c r="B668" s="412">
        <v>1104112</v>
      </c>
      <c r="C668" s="413" t="s">
        <v>1017</v>
      </c>
      <c r="D668" s="372"/>
      <c r="E668" s="414"/>
      <c r="F668" s="372"/>
      <c r="G668" s="414"/>
      <c r="H668" s="372"/>
      <c r="I668" s="414"/>
      <c r="J668" s="372"/>
      <c r="K668" s="415"/>
      <c r="L668" s="416"/>
      <c r="M668" s="422"/>
      <c r="N668" s="182"/>
      <c r="O668" s="184">
        <f t="shared" si="124"/>
        <v>0</v>
      </c>
      <c r="P668" s="182">
        <v>1590</v>
      </c>
      <c r="Q668" s="184">
        <f t="shared" si="123"/>
        <v>26.5</v>
      </c>
      <c r="R668" s="417"/>
      <c r="S668" s="184"/>
      <c r="T668" s="417"/>
      <c r="U668" s="184"/>
      <c r="V668" s="417"/>
      <c r="W668" s="184"/>
      <c r="X668" s="417"/>
      <c r="Y668" s="184"/>
      <c r="Z668" s="417"/>
      <c r="AA668" s="184"/>
      <c r="AC668" s="337" t="s">
        <v>859</v>
      </c>
      <c r="AD668" s="337" t="s">
        <v>242</v>
      </c>
      <c r="AE668" s="337">
        <v>729.2</v>
      </c>
      <c r="AF668" s="337">
        <v>12</v>
      </c>
    </row>
    <row r="669" spans="1:36" ht="17.399999999999999" x14ac:dyDescent="0.35">
      <c r="A669" s="511"/>
      <c r="B669" s="412">
        <v>1104211</v>
      </c>
      <c r="C669" s="413" t="s">
        <v>1014</v>
      </c>
      <c r="D669" s="372"/>
      <c r="E669" s="414"/>
      <c r="F669" s="372"/>
      <c r="G669" s="414"/>
      <c r="H669" s="372"/>
      <c r="I669" s="414"/>
      <c r="J669" s="372"/>
      <c r="K669" s="415"/>
      <c r="L669" s="416"/>
      <c r="M669" s="422"/>
      <c r="N669" s="417">
        <v>32625</v>
      </c>
      <c r="O669" s="184"/>
      <c r="P669" s="417">
        <v>62288</v>
      </c>
      <c r="Q669" s="184"/>
      <c r="R669" s="417"/>
      <c r="S669" s="184"/>
      <c r="T669" s="417"/>
      <c r="U669" s="184"/>
      <c r="V669" s="417"/>
      <c r="W669" s="184"/>
      <c r="X669" s="417"/>
      <c r="Y669" s="184"/>
      <c r="Z669" s="417"/>
      <c r="AA669" s="184"/>
      <c r="AC669" s="337" t="s">
        <v>860</v>
      </c>
      <c r="AD669" s="337" t="s">
        <v>242</v>
      </c>
      <c r="AE669" s="337">
        <v>384.16</v>
      </c>
      <c r="AF669" s="337">
        <v>14</v>
      </c>
    </row>
    <row r="670" spans="1:36" ht="17.399999999999999" x14ac:dyDescent="0.35">
      <c r="A670" s="511"/>
      <c r="B670" s="412">
        <v>1104210</v>
      </c>
      <c r="C670" s="413" t="s">
        <v>1014</v>
      </c>
      <c r="D670" s="372"/>
      <c r="E670" s="414"/>
      <c r="F670" s="372"/>
      <c r="G670" s="414"/>
      <c r="H670" s="372"/>
      <c r="I670" s="414"/>
      <c r="J670" s="372"/>
      <c r="K670" s="415"/>
      <c r="L670" s="416"/>
      <c r="M670" s="422"/>
      <c r="N670" s="417">
        <v>132794.68</v>
      </c>
      <c r="O670" s="184"/>
      <c r="P670" s="417">
        <v>161509.07999999999</v>
      </c>
      <c r="Q670" s="184"/>
      <c r="R670" s="417"/>
      <c r="S670" s="184"/>
      <c r="T670" s="417"/>
      <c r="U670" s="184"/>
      <c r="V670" s="417"/>
      <c r="W670" s="184"/>
      <c r="X670" s="417"/>
      <c r="Y670" s="184"/>
      <c r="Z670" s="417"/>
      <c r="AA670" s="184"/>
      <c r="AC670" s="337" t="s">
        <v>861</v>
      </c>
      <c r="AD670" s="337" t="s">
        <v>242</v>
      </c>
      <c r="AE670" s="337">
        <v>296</v>
      </c>
      <c r="AF670" s="337">
        <v>26</v>
      </c>
    </row>
    <row r="671" spans="1:36" ht="17.399999999999999" x14ac:dyDescent="0.35">
      <c r="A671" s="511"/>
      <c r="B671" s="412">
        <v>1104212</v>
      </c>
      <c r="C671" s="413" t="s">
        <v>1014</v>
      </c>
      <c r="D671" s="372"/>
      <c r="E671" s="414"/>
      <c r="F671" s="372"/>
      <c r="G671" s="414"/>
      <c r="H671" s="372"/>
      <c r="I671" s="414"/>
      <c r="J671" s="372"/>
      <c r="K671" s="415"/>
      <c r="L671" s="416"/>
      <c r="M671" s="422"/>
      <c r="N671" s="417">
        <v>17616</v>
      </c>
      <c r="O671" s="184"/>
      <c r="P671" s="417">
        <v>17727</v>
      </c>
      <c r="Q671" s="184"/>
      <c r="R671" s="417"/>
      <c r="S671" s="184"/>
      <c r="T671" s="417"/>
      <c r="U671" s="184"/>
      <c r="V671" s="417"/>
      <c r="W671" s="184"/>
      <c r="X671" s="417"/>
      <c r="Y671" s="184"/>
      <c r="Z671" s="417"/>
      <c r="AA671" s="184"/>
      <c r="AC671" s="337" t="s">
        <v>862</v>
      </c>
      <c r="AD671" s="337" t="s">
        <v>242</v>
      </c>
      <c r="AE671" s="337">
        <v>329</v>
      </c>
      <c r="AF671" s="337">
        <v>29</v>
      </c>
    </row>
    <row r="672" spans="1:36" ht="17.399999999999999" x14ac:dyDescent="0.35">
      <c r="A672" s="511"/>
      <c r="B672" s="412"/>
      <c r="C672" s="413" t="s">
        <v>283</v>
      </c>
      <c r="D672" s="372"/>
      <c r="E672" s="414"/>
      <c r="F672" s="372"/>
      <c r="G672" s="414"/>
      <c r="H672" s="372"/>
      <c r="I672" s="414"/>
      <c r="J672" s="372"/>
      <c r="K672" s="415"/>
      <c r="L672" s="416"/>
      <c r="M672" s="422"/>
      <c r="N672" s="206">
        <f>SUM(N669:N671)</f>
        <v>183035.68</v>
      </c>
      <c r="O672" s="281">
        <f>N672/60</f>
        <v>3050.5946666666664</v>
      </c>
      <c r="P672" s="206">
        <f>SUM(P669:P671)</f>
        <v>241524.08</v>
      </c>
      <c r="Q672" s="281">
        <f>P672/60</f>
        <v>4025.4013333333332</v>
      </c>
      <c r="R672" s="206">
        <f>SUM(R669:R671)</f>
        <v>0</v>
      </c>
      <c r="S672" s="281">
        <f>R672/60</f>
        <v>0</v>
      </c>
      <c r="T672" s="206">
        <f>SUM(T669:T671)</f>
        <v>0</v>
      </c>
      <c r="U672" s="281">
        <f>T672/60</f>
        <v>0</v>
      </c>
      <c r="V672" s="206">
        <f>SUM(V669:V671)</f>
        <v>0</v>
      </c>
      <c r="W672" s="281">
        <f>V672/60</f>
        <v>0</v>
      </c>
      <c r="X672" s="206">
        <f>SUM(X669:X671)</f>
        <v>0</v>
      </c>
      <c r="Y672" s="281">
        <f>X672/60</f>
        <v>0</v>
      </c>
      <c r="Z672" s="206">
        <f>SUM(Z669:Z671)</f>
        <v>0</v>
      </c>
      <c r="AA672" s="281">
        <f>Z672/60</f>
        <v>0</v>
      </c>
      <c r="AC672" s="337" t="s">
        <v>1039</v>
      </c>
      <c r="AD672" s="337" t="s">
        <v>242</v>
      </c>
      <c r="AE672" s="337">
        <v>323</v>
      </c>
      <c r="AF672" s="337">
        <v>28</v>
      </c>
    </row>
    <row r="673" spans="1:32" ht="17.399999999999999" x14ac:dyDescent="0.35">
      <c r="A673" s="511"/>
      <c r="B673" s="412">
        <v>1104200</v>
      </c>
      <c r="C673" s="413" t="s">
        <v>26</v>
      </c>
      <c r="D673" s="372"/>
      <c r="E673" s="414"/>
      <c r="F673" s="372"/>
      <c r="G673" s="414"/>
      <c r="H673" s="372"/>
      <c r="I673" s="414"/>
      <c r="J673" s="372"/>
      <c r="K673" s="415"/>
      <c r="L673" s="416"/>
      <c r="M673" s="422"/>
      <c r="N673" s="420">
        <v>91789.36</v>
      </c>
      <c r="O673" s="184">
        <f>N673/60</f>
        <v>1529.8226666666667</v>
      </c>
      <c r="P673" s="420">
        <v>33</v>
      </c>
      <c r="Q673" s="184">
        <f>(P673+P656)/60</f>
        <v>633.67083333333335</v>
      </c>
      <c r="R673" s="417"/>
      <c r="S673" s="184"/>
      <c r="T673" s="417"/>
      <c r="U673" s="184"/>
      <c r="V673" s="417"/>
      <c r="W673" s="184"/>
      <c r="X673" s="417"/>
      <c r="Y673" s="184"/>
      <c r="Z673" s="417"/>
      <c r="AA673" s="184"/>
      <c r="AC673" s="337" t="s">
        <v>355</v>
      </c>
      <c r="AD673" s="337" t="s">
        <v>242</v>
      </c>
      <c r="AE673" s="337">
        <v>583.20000000000005</v>
      </c>
      <c r="AF673" s="337">
        <v>8</v>
      </c>
    </row>
    <row r="674" spans="1:32" ht="17.399999999999999" x14ac:dyDescent="0.35">
      <c r="A674" s="511"/>
      <c r="B674" s="358">
        <v>110050</v>
      </c>
      <c r="C674" s="178" t="s">
        <v>274</v>
      </c>
      <c r="D674" s="372">
        <v>95098.28</v>
      </c>
      <c r="E674" s="281">
        <f>D674/60</f>
        <v>1584.9713333333334</v>
      </c>
      <c r="F674" s="372">
        <v>142327.5</v>
      </c>
      <c r="G674" s="281">
        <f>F674/60</f>
        <v>2372.125</v>
      </c>
      <c r="H674" s="372">
        <v>150523.96</v>
      </c>
      <c r="I674" s="281">
        <f>H674/60</f>
        <v>2508.7326666666663</v>
      </c>
      <c r="J674" s="372">
        <v>134640.28000000003</v>
      </c>
      <c r="K674" s="180">
        <f>J674/60</f>
        <v>2244.0046666666672</v>
      </c>
      <c r="L674" s="179">
        <v>105169.62</v>
      </c>
      <c r="M674" s="424">
        <f>L674/60</f>
        <v>1752.827</v>
      </c>
      <c r="N674" s="182">
        <v>117567.11999999998</v>
      </c>
      <c r="O674" s="180">
        <f>N674/60</f>
        <v>1959.4519999999998</v>
      </c>
      <c r="P674" s="182">
        <v>85229.8</v>
      </c>
      <c r="Q674" s="180">
        <f>P674/60</f>
        <v>1420.4966666666667</v>
      </c>
      <c r="R674" s="182"/>
      <c r="S674" s="180">
        <f>R674/60</f>
        <v>0</v>
      </c>
      <c r="T674" s="182"/>
      <c r="U674" s="184">
        <f>T674/60</f>
        <v>0</v>
      </c>
      <c r="V674" s="182"/>
      <c r="W674" s="184">
        <f>V674/60</f>
        <v>0</v>
      </c>
      <c r="X674" s="182"/>
      <c r="Y674" s="184">
        <f>X674/60</f>
        <v>0</v>
      </c>
      <c r="Z674" s="182"/>
      <c r="AA674" s="184">
        <f>Z674/60</f>
        <v>0</v>
      </c>
      <c r="AC674" s="337" t="s">
        <v>619</v>
      </c>
      <c r="AD674" s="337" t="s">
        <v>242</v>
      </c>
      <c r="AE674" s="337">
        <v>64.47</v>
      </c>
      <c r="AF674" s="337">
        <v>1</v>
      </c>
    </row>
    <row r="675" spans="1:32" ht="17.399999999999999" x14ac:dyDescent="0.35">
      <c r="A675" s="511"/>
      <c r="B675" s="358">
        <v>110051</v>
      </c>
      <c r="C675" s="178" t="s">
        <v>276</v>
      </c>
      <c r="D675" s="372">
        <v>55925.482000000004</v>
      </c>
      <c r="E675" s="281">
        <f t="shared" ref="E675:E676" si="125">D675/60</f>
        <v>932.09136666666677</v>
      </c>
      <c r="F675" s="372">
        <v>110164.546</v>
      </c>
      <c r="G675" s="281">
        <f>F675/60</f>
        <v>1836.0757666666666</v>
      </c>
      <c r="H675" s="372">
        <v>96142.494999999995</v>
      </c>
      <c r="I675" s="281">
        <f>H675/60</f>
        <v>1602.3749166666666</v>
      </c>
      <c r="J675" s="372">
        <v>86890.055999999953</v>
      </c>
      <c r="K675" s="180">
        <f>J675/60</f>
        <v>1448.1675999999993</v>
      </c>
      <c r="L675" s="179">
        <v>55339.536</v>
      </c>
      <c r="M675" s="424">
        <f>L675/60</f>
        <v>922.32560000000001</v>
      </c>
      <c r="N675" s="182">
        <v>90048.565999999992</v>
      </c>
      <c r="O675" s="180">
        <f>N675/60</f>
        <v>1500.8094333333331</v>
      </c>
      <c r="P675" s="182">
        <v>42958.061000000016</v>
      </c>
      <c r="Q675" s="180">
        <f>P675/60</f>
        <v>715.96768333333364</v>
      </c>
      <c r="R675" s="182"/>
      <c r="S675" s="180">
        <f>R675/60</f>
        <v>0</v>
      </c>
      <c r="T675" s="182"/>
      <c r="U675" s="184">
        <f>T675/60</f>
        <v>0</v>
      </c>
      <c r="V675" s="182"/>
      <c r="W675" s="184">
        <f>V675/60</f>
        <v>0</v>
      </c>
      <c r="X675" s="182"/>
      <c r="Y675" s="184">
        <f>X675/60</f>
        <v>0</v>
      </c>
      <c r="Z675" s="182"/>
      <c r="AA675" s="184">
        <f>Z675/60</f>
        <v>0</v>
      </c>
      <c r="AC675" s="337" t="s">
        <v>359</v>
      </c>
      <c r="AD675" s="337" t="s">
        <v>242</v>
      </c>
      <c r="AE675" s="337">
        <v>229.9</v>
      </c>
      <c r="AF675" s="337">
        <v>11</v>
      </c>
    </row>
    <row r="676" spans="1:32" ht="17.399999999999999" x14ac:dyDescent="0.35">
      <c r="A676" s="511"/>
      <c r="B676" s="358">
        <v>110015</v>
      </c>
      <c r="C676" s="178" t="s">
        <v>278</v>
      </c>
      <c r="D676" s="372">
        <v>66273.13</v>
      </c>
      <c r="E676" s="281">
        <f t="shared" si="125"/>
        <v>1104.5521666666668</v>
      </c>
      <c r="F676" s="372">
        <v>119406.5</v>
      </c>
      <c r="G676" s="281">
        <f t="shared" ref="G676" si="126">F676/60</f>
        <v>1990.1083333333333</v>
      </c>
      <c r="H676" s="372">
        <v>137329.85</v>
      </c>
      <c r="I676" s="308"/>
      <c r="J676" s="372">
        <v>104297.36000000003</v>
      </c>
      <c r="K676" s="185"/>
      <c r="L676" s="179">
        <v>79732.549999999959</v>
      </c>
      <c r="M676" s="425"/>
      <c r="N676" s="182">
        <v>94269.630000000019</v>
      </c>
      <c r="O676" s="185"/>
      <c r="P676" s="182">
        <v>71867.299999999988</v>
      </c>
      <c r="Q676" s="185"/>
      <c r="R676" s="182"/>
      <c r="S676" s="185"/>
      <c r="T676" s="182"/>
      <c r="U676" s="185"/>
      <c r="V676" s="182"/>
      <c r="W676" s="185"/>
      <c r="X676" s="182"/>
      <c r="Y676" s="185"/>
      <c r="Z676" s="182"/>
      <c r="AA676" s="185"/>
      <c r="AC676" s="337" t="s">
        <v>1040</v>
      </c>
      <c r="AD676" s="337" t="s">
        <v>242</v>
      </c>
      <c r="AE676" s="337">
        <v>209</v>
      </c>
      <c r="AF676" s="337">
        <v>10</v>
      </c>
    </row>
    <row r="677" spans="1:32" ht="17.399999999999999" x14ac:dyDescent="0.35">
      <c r="A677" s="511"/>
      <c r="B677" s="358">
        <v>110011</v>
      </c>
      <c r="C677" s="178" t="s">
        <v>281</v>
      </c>
      <c r="D677" s="372">
        <v>36110.400000000001</v>
      </c>
      <c r="E677" s="281">
        <f>D677/60</f>
        <v>601.84</v>
      </c>
      <c r="F677" s="372">
        <v>56314.400000000001</v>
      </c>
      <c r="G677" s="281">
        <f>F677/60</f>
        <v>938.57333333333338</v>
      </c>
      <c r="H677" s="372">
        <v>63351.4</v>
      </c>
      <c r="I677" s="308"/>
      <c r="J677" s="372">
        <v>52454.400000000009</v>
      </c>
      <c r="K677" s="185"/>
      <c r="L677" s="179">
        <v>45019.400000000023</v>
      </c>
      <c r="M677" s="425"/>
      <c r="N677" s="182">
        <v>51801.000000000022</v>
      </c>
      <c r="O677" s="185"/>
      <c r="P677" s="182">
        <v>34880.000000000015</v>
      </c>
      <c r="Q677" s="185"/>
      <c r="R677" s="182"/>
      <c r="S677" s="185"/>
      <c r="T677" s="182"/>
      <c r="U677" s="185"/>
      <c r="V677" s="182"/>
      <c r="W677" s="185"/>
      <c r="X677" s="182"/>
      <c r="Y677" s="185"/>
      <c r="Z677" s="182"/>
      <c r="AA677" s="185"/>
      <c r="AC677" s="337" t="s">
        <v>580</v>
      </c>
      <c r="AD677" s="337" t="s">
        <v>242</v>
      </c>
      <c r="AE677" s="337">
        <v>382.9</v>
      </c>
      <c r="AF677" s="337">
        <v>10</v>
      </c>
    </row>
    <row r="678" spans="1:32" ht="17.399999999999999" x14ac:dyDescent="0.35">
      <c r="A678" s="511"/>
      <c r="B678" s="358"/>
      <c r="C678" s="178" t="s">
        <v>283</v>
      </c>
      <c r="D678" s="206">
        <f>SUM(D676:D677)</f>
        <v>102383.53</v>
      </c>
      <c r="E678" s="281">
        <f>D678/60</f>
        <v>1706.3921666666668</v>
      </c>
      <c r="F678" s="206">
        <v>175720.9</v>
      </c>
      <c r="G678" s="281">
        <v>2928.6816666666664</v>
      </c>
      <c r="H678" s="206">
        <f>SUM(H676:H677)</f>
        <v>200681.25</v>
      </c>
      <c r="I678" s="281">
        <f>H678/60</f>
        <v>3344.6875</v>
      </c>
      <c r="J678" s="206">
        <f>SUM(J676:J677)</f>
        <v>156751.76000000004</v>
      </c>
      <c r="K678" s="180">
        <f t="shared" ref="K678" si="127">J678/60</f>
        <v>2612.5293333333339</v>
      </c>
      <c r="L678" s="206">
        <f>SUM(L676:L677)</f>
        <v>124751.94999999998</v>
      </c>
      <c r="M678" s="424">
        <f t="shared" ref="M678" si="128">L678/60</f>
        <v>2079.1991666666663</v>
      </c>
      <c r="N678" s="206">
        <f>SUM(N676:N677)</f>
        <v>146070.63000000003</v>
      </c>
      <c r="O678" s="180">
        <f t="shared" ref="O678:Q679" si="129">N678/60</f>
        <v>2434.5105000000008</v>
      </c>
      <c r="P678" s="206">
        <f>SUM(P676:P677)</f>
        <v>106747.3</v>
      </c>
      <c r="Q678" s="180">
        <f t="shared" ref="Q678" si="130">P678/60</f>
        <v>1779.1216666666667</v>
      </c>
      <c r="R678" s="206">
        <f>SUM(R676:R677)</f>
        <v>0</v>
      </c>
      <c r="S678" s="180">
        <f t="shared" ref="S678" si="131">R678/60</f>
        <v>0</v>
      </c>
      <c r="T678" s="206">
        <f>SUM(T676:T677)</f>
        <v>0</v>
      </c>
      <c r="U678" s="180">
        <f t="shared" ref="U678" si="132">T678/60</f>
        <v>0</v>
      </c>
      <c r="V678" s="206">
        <f>SUM(V676:V677)</f>
        <v>0</v>
      </c>
      <c r="W678" s="180">
        <f t="shared" ref="W678" si="133">V678/60</f>
        <v>0</v>
      </c>
      <c r="X678" s="206">
        <f>SUM(X676:X677)</f>
        <v>0</v>
      </c>
      <c r="Y678" s="180">
        <f t="shared" ref="Y678" si="134">X678/60</f>
        <v>0</v>
      </c>
      <c r="Z678" s="206">
        <f>SUM(Z676:Z677)</f>
        <v>0</v>
      </c>
      <c r="AA678" s="180">
        <f t="shared" ref="AA678" si="135">Z678/60</f>
        <v>0</v>
      </c>
      <c r="AC678" s="337" t="s">
        <v>1041</v>
      </c>
      <c r="AD678" s="337" t="s">
        <v>242</v>
      </c>
      <c r="AE678" s="337">
        <v>569.35</v>
      </c>
      <c r="AF678" s="337">
        <v>15</v>
      </c>
    </row>
    <row r="679" spans="1:32" ht="17.399999999999999" x14ac:dyDescent="0.35">
      <c r="A679" s="511"/>
      <c r="B679" s="358">
        <v>1104100</v>
      </c>
      <c r="C679" s="178" t="s">
        <v>19</v>
      </c>
      <c r="D679" s="206"/>
      <c r="E679" s="281"/>
      <c r="F679" s="206"/>
      <c r="G679" s="281"/>
      <c r="H679" s="206"/>
      <c r="I679" s="281"/>
      <c r="J679" s="206"/>
      <c r="K679" s="180"/>
      <c r="L679" s="206"/>
      <c r="M679" s="424"/>
      <c r="N679" s="179">
        <v>116230.9040000005</v>
      </c>
      <c r="O679" s="180">
        <f t="shared" si="129"/>
        <v>1937.1817333333418</v>
      </c>
      <c r="P679" s="179">
        <v>85454.155999999886</v>
      </c>
      <c r="Q679" s="180">
        <f t="shared" si="129"/>
        <v>1424.2359333333313</v>
      </c>
      <c r="R679" s="187"/>
      <c r="S679" s="180"/>
      <c r="T679" s="187"/>
      <c r="U679" s="180"/>
      <c r="V679" s="187"/>
      <c r="W679" s="180"/>
      <c r="X679" s="187"/>
      <c r="Y679" s="180"/>
      <c r="Z679" s="187"/>
      <c r="AA679" s="180"/>
      <c r="AC679" s="337" t="s">
        <v>1042</v>
      </c>
      <c r="AD679" s="337" t="s">
        <v>242</v>
      </c>
      <c r="AE679" s="337">
        <v>606.64</v>
      </c>
      <c r="AF679" s="337">
        <v>16</v>
      </c>
    </row>
    <row r="680" spans="1:32" ht="17.399999999999999" x14ac:dyDescent="0.35">
      <c r="A680" s="511"/>
      <c r="B680" s="358">
        <v>110030</v>
      </c>
      <c r="C680" s="188" t="s">
        <v>285</v>
      </c>
      <c r="D680" s="372">
        <v>74921.38</v>
      </c>
      <c r="E680" s="205">
        <f t="shared" ref="E680:E684" si="136">D680/60</f>
        <v>1248.6896666666667</v>
      </c>
      <c r="F680" s="372">
        <v>61195.6</v>
      </c>
      <c r="G680" s="205">
        <f>F680/60</f>
        <v>1019.9266666666666</v>
      </c>
      <c r="H680" s="372">
        <v>60659.64</v>
      </c>
      <c r="I680" s="205">
        <f t="shared" ref="I680:I684" si="137">H680/60</f>
        <v>1010.994</v>
      </c>
      <c r="J680" s="372">
        <v>55162.520000000004</v>
      </c>
      <c r="K680" s="205">
        <f>J680/60</f>
        <v>919.3753333333334</v>
      </c>
      <c r="L680" s="179">
        <v>26240.46</v>
      </c>
      <c r="M680" s="426">
        <f t="shared" ref="M680:M684" si="138">L680/60</f>
        <v>437.34100000000001</v>
      </c>
      <c r="N680" s="182">
        <v>60933.45</v>
      </c>
      <c r="O680" s="189">
        <f>N680/60</f>
        <v>1015.5575</v>
      </c>
      <c r="P680" s="182">
        <v>28610.699999999997</v>
      </c>
      <c r="Q680" s="189">
        <f t="shared" ref="Q680:Q684" si="139">P680/60</f>
        <v>476.84499999999997</v>
      </c>
      <c r="R680" s="182"/>
      <c r="S680" s="189">
        <f t="shared" ref="S680:S684" si="140">R680/60</f>
        <v>0</v>
      </c>
      <c r="T680" s="182"/>
      <c r="U680" s="189">
        <f t="shared" ref="U680:U684" si="141">T680/60</f>
        <v>0</v>
      </c>
      <c r="V680" s="182"/>
      <c r="W680" s="189">
        <f t="shared" ref="W680:W684" si="142">V680/60</f>
        <v>0</v>
      </c>
      <c r="X680" s="182"/>
      <c r="Y680" s="189">
        <f t="shared" ref="Y680:Y684" si="143">X680/60</f>
        <v>0</v>
      </c>
      <c r="Z680" s="187"/>
      <c r="AA680" s="189">
        <f t="shared" ref="AA680:AA684" si="144">Z680/60</f>
        <v>0</v>
      </c>
      <c r="AC680" s="337" t="s">
        <v>394</v>
      </c>
      <c r="AD680" s="337" t="s">
        <v>242</v>
      </c>
      <c r="AE680" s="337">
        <v>655.9</v>
      </c>
      <c r="AF680" s="337">
        <v>13</v>
      </c>
    </row>
    <row r="681" spans="1:32" ht="17.399999999999999" x14ac:dyDescent="0.35">
      <c r="A681" s="511"/>
      <c r="B681" s="358">
        <v>110100</v>
      </c>
      <c r="C681" s="188" t="s">
        <v>287</v>
      </c>
      <c r="D681" s="372">
        <v>125435</v>
      </c>
      <c r="E681" s="205">
        <f t="shared" si="136"/>
        <v>2090.5833333333335</v>
      </c>
      <c r="F681" s="372">
        <v>186939</v>
      </c>
      <c r="G681" s="205">
        <f t="shared" ref="G681:G684" si="145">F681/60</f>
        <v>3115.65</v>
      </c>
      <c r="H681" s="372">
        <v>210877</v>
      </c>
      <c r="I681" s="205">
        <f t="shared" si="137"/>
        <v>3514.6166666666668</v>
      </c>
      <c r="J681" s="372">
        <v>187053</v>
      </c>
      <c r="K681" s="189">
        <f t="shared" ref="K681:K684" si="146">J681/60</f>
        <v>3117.55</v>
      </c>
      <c r="L681" s="179">
        <v>177392</v>
      </c>
      <c r="M681" s="426">
        <f t="shared" si="138"/>
        <v>2956.5333333333333</v>
      </c>
      <c r="N681" s="182">
        <v>209404</v>
      </c>
      <c r="O681" s="189">
        <f>N681/60</f>
        <v>3490.0666666666666</v>
      </c>
      <c r="P681" s="182">
        <v>143101</v>
      </c>
      <c r="Q681" s="189">
        <f t="shared" si="139"/>
        <v>2385.0166666666669</v>
      </c>
      <c r="R681" s="182"/>
      <c r="S681" s="189">
        <f t="shared" si="140"/>
        <v>0</v>
      </c>
      <c r="T681" s="182"/>
      <c r="U681" s="189">
        <f t="shared" si="141"/>
        <v>0</v>
      </c>
      <c r="V681" s="182"/>
      <c r="W681" s="189">
        <f t="shared" si="142"/>
        <v>0</v>
      </c>
      <c r="X681" s="182"/>
      <c r="Y681" s="189">
        <f t="shared" si="143"/>
        <v>0</v>
      </c>
      <c r="Z681" s="182"/>
      <c r="AA681" s="189">
        <f t="shared" si="144"/>
        <v>0</v>
      </c>
      <c r="AC681" s="337" t="s">
        <v>395</v>
      </c>
      <c r="AD681" s="337" t="s">
        <v>242</v>
      </c>
      <c r="AE681" s="339">
        <v>2508</v>
      </c>
      <c r="AF681" s="337">
        <v>33</v>
      </c>
    </row>
    <row r="682" spans="1:32" ht="17.399999999999999" x14ac:dyDescent="0.35">
      <c r="A682" s="511"/>
      <c r="B682" s="358">
        <v>110110</v>
      </c>
      <c r="C682" s="190" t="s">
        <v>289</v>
      </c>
      <c r="D682" s="372">
        <v>291894</v>
      </c>
      <c r="E682" s="205">
        <f t="shared" si="136"/>
        <v>4864.8999999999996</v>
      </c>
      <c r="F682" s="372">
        <v>468510</v>
      </c>
      <c r="G682" s="205">
        <f t="shared" si="145"/>
        <v>7808.5</v>
      </c>
      <c r="H682" s="372">
        <v>561192</v>
      </c>
      <c r="I682" s="309">
        <f t="shared" si="137"/>
        <v>9353.2000000000007</v>
      </c>
      <c r="J682" s="372">
        <v>491073</v>
      </c>
      <c r="K682" s="193">
        <f t="shared" si="146"/>
        <v>8184.55</v>
      </c>
      <c r="L682" s="192">
        <v>389975</v>
      </c>
      <c r="M682" s="427">
        <f t="shared" si="138"/>
        <v>6499.583333333333</v>
      </c>
      <c r="N682" s="191">
        <v>479958</v>
      </c>
      <c r="O682" s="193">
        <f>N682/60</f>
        <v>7999.3</v>
      </c>
      <c r="P682" s="191">
        <v>321909</v>
      </c>
      <c r="Q682" s="193">
        <f t="shared" si="139"/>
        <v>5365.15</v>
      </c>
      <c r="R682" s="191"/>
      <c r="S682" s="193">
        <f t="shared" si="140"/>
        <v>0</v>
      </c>
      <c r="T682" s="191"/>
      <c r="U682" s="193">
        <f t="shared" si="141"/>
        <v>0</v>
      </c>
      <c r="V682" s="191"/>
      <c r="W682" s="193">
        <f t="shared" si="142"/>
        <v>0</v>
      </c>
      <c r="X682" s="191"/>
      <c r="Y682" s="193">
        <f t="shared" si="143"/>
        <v>0</v>
      </c>
      <c r="Z682" s="191"/>
      <c r="AA682" s="193">
        <f t="shared" si="144"/>
        <v>0</v>
      </c>
      <c r="AC682" s="337" t="s">
        <v>397</v>
      </c>
      <c r="AD682" s="337" t="s">
        <v>242</v>
      </c>
      <c r="AE682" s="337">
        <v>307</v>
      </c>
      <c r="AF682" s="337">
        <v>5</v>
      </c>
    </row>
    <row r="683" spans="1:32" ht="17.399999999999999" x14ac:dyDescent="0.35">
      <c r="A683" s="511"/>
      <c r="B683" s="358">
        <v>110060</v>
      </c>
      <c r="C683" s="190" t="s">
        <v>291</v>
      </c>
      <c r="D683" s="372">
        <v>31265.64</v>
      </c>
      <c r="E683" s="205">
        <f t="shared" si="136"/>
        <v>521.09399999999994</v>
      </c>
      <c r="F683" s="372">
        <v>51495.199999999997</v>
      </c>
      <c r="G683" s="205">
        <f t="shared" si="145"/>
        <v>858.25333333333333</v>
      </c>
      <c r="H683" s="372">
        <v>61745.94</v>
      </c>
      <c r="I683" s="309">
        <f t="shared" si="137"/>
        <v>1029.0989999999999</v>
      </c>
      <c r="J683" s="372">
        <v>44311.280000000021</v>
      </c>
      <c r="K683" s="193">
        <f t="shared" si="146"/>
        <v>738.5213333333337</v>
      </c>
      <c r="L683" s="179">
        <v>40948.400000000009</v>
      </c>
      <c r="M683" s="427">
        <f t="shared" si="138"/>
        <v>682.47333333333347</v>
      </c>
      <c r="N683" s="179">
        <v>47734.840000000026</v>
      </c>
      <c r="O683" s="193">
        <f>N683/60</f>
        <v>795.58066666666707</v>
      </c>
      <c r="P683" s="179">
        <v>34554.699999999968</v>
      </c>
      <c r="Q683" s="193">
        <f t="shared" si="139"/>
        <v>575.91166666666618</v>
      </c>
      <c r="R683" s="343"/>
      <c r="S683" s="193">
        <f t="shared" si="140"/>
        <v>0</v>
      </c>
      <c r="T683" s="349"/>
      <c r="U683" s="193">
        <f t="shared" si="141"/>
        <v>0</v>
      </c>
      <c r="V683" s="343"/>
      <c r="W683" s="193">
        <f t="shared" si="142"/>
        <v>0</v>
      </c>
      <c r="X683" s="359"/>
      <c r="Y683" s="360">
        <f t="shared" si="143"/>
        <v>0</v>
      </c>
      <c r="Z683" s="359"/>
      <c r="AA683" s="189">
        <f t="shared" si="144"/>
        <v>0</v>
      </c>
      <c r="AC683" s="337" t="s">
        <v>398</v>
      </c>
      <c r="AD683" s="337" t="s">
        <v>242</v>
      </c>
      <c r="AE683" s="337">
        <v>90</v>
      </c>
      <c r="AF683" s="337">
        <v>5</v>
      </c>
    </row>
    <row r="684" spans="1:32" ht="18" thickBot="1" x14ac:dyDescent="0.4">
      <c r="A684" s="511"/>
      <c r="B684" s="361">
        <v>110111</v>
      </c>
      <c r="C684" s="371" t="s">
        <v>292</v>
      </c>
      <c r="D684" s="373">
        <v>70826</v>
      </c>
      <c r="E684" s="310">
        <f t="shared" si="136"/>
        <v>1180.4333333333334</v>
      </c>
      <c r="F684" s="373">
        <v>74846</v>
      </c>
      <c r="G684" s="310">
        <f t="shared" si="145"/>
        <v>1247.4333333333334</v>
      </c>
      <c r="H684" s="373">
        <v>117541</v>
      </c>
      <c r="I684" s="310">
        <f t="shared" si="137"/>
        <v>1959.0166666666667</v>
      </c>
      <c r="J684" s="373">
        <v>91449</v>
      </c>
      <c r="K684" s="198">
        <f t="shared" si="146"/>
        <v>1524.15</v>
      </c>
      <c r="L684" s="197">
        <v>90315</v>
      </c>
      <c r="M684" s="428">
        <f t="shared" si="138"/>
        <v>1505.25</v>
      </c>
      <c r="N684" s="197">
        <v>125456</v>
      </c>
      <c r="O684" s="198">
        <f>N684/60</f>
        <v>2090.9333333333334</v>
      </c>
      <c r="P684" s="197">
        <v>94479</v>
      </c>
      <c r="Q684" s="198">
        <f t="shared" si="139"/>
        <v>1574.65</v>
      </c>
      <c r="R684" s="200"/>
      <c r="S684" s="198">
        <f t="shared" si="140"/>
        <v>0</v>
      </c>
      <c r="T684" s="201"/>
      <c r="U684" s="198">
        <f t="shared" si="141"/>
        <v>0</v>
      </c>
      <c r="V684" s="200"/>
      <c r="W684" s="198">
        <f t="shared" si="142"/>
        <v>0</v>
      </c>
      <c r="X684" s="200"/>
      <c r="Y684" s="202">
        <f t="shared" si="143"/>
        <v>0</v>
      </c>
      <c r="Z684" s="200"/>
      <c r="AA684" s="198">
        <f t="shared" si="144"/>
        <v>0</v>
      </c>
      <c r="AC684" s="337" t="s">
        <v>745</v>
      </c>
      <c r="AD684" s="337" t="s">
        <v>242</v>
      </c>
      <c r="AE684" s="337">
        <v>788.31</v>
      </c>
      <c r="AF684" s="337">
        <v>13</v>
      </c>
    </row>
    <row r="685" spans="1:32" x14ac:dyDescent="0.3">
      <c r="A685" s="511"/>
      <c r="B685" s="93"/>
      <c r="C685" s="93"/>
      <c r="D685" s="93"/>
      <c r="E685" s="93"/>
      <c r="F685" s="286"/>
      <c r="G685" s="93"/>
      <c r="H685" s="208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252"/>
      <c r="U685" s="93"/>
      <c r="V685" s="93"/>
      <c r="W685" s="93"/>
      <c r="X685" s="93"/>
      <c r="Y685" s="93"/>
      <c r="Z685" s="93"/>
      <c r="AA685" s="93"/>
    </row>
    <row r="686" spans="1:32" x14ac:dyDescent="0.3">
      <c r="A686" s="511"/>
      <c r="B686" s="93"/>
      <c r="C686" s="93"/>
      <c r="D686" s="93"/>
      <c r="E686" s="93"/>
      <c r="F686" s="286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252"/>
      <c r="U686" s="93"/>
      <c r="V686" s="93"/>
      <c r="W686" s="93"/>
      <c r="X686" s="93"/>
      <c r="Y686" s="93"/>
      <c r="Z686" s="93"/>
      <c r="AA686" s="93"/>
    </row>
    <row r="687" spans="1:32" x14ac:dyDescent="0.3">
      <c r="A687" s="511"/>
      <c r="B687" s="93"/>
      <c r="F687" s="90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252"/>
      <c r="U687" s="93"/>
      <c r="V687" s="93"/>
      <c r="W687" s="93"/>
      <c r="X687" s="93"/>
      <c r="Y687" s="93"/>
      <c r="Z687" s="93"/>
      <c r="AA687" s="93"/>
    </row>
    <row r="688" spans="1:32" x14ac:dyDescent="0.3">
      <c r="A688" s="511"/>
      <c r="B688" s="93"/>
      <c r="F688" s="369"/>
      <c r="G688" s="419"/>
      <c r="H688" s="252"/>
      <c r="I688" s="93"/>
      <c r="J688" s="379"/>
      <c r="K688" s="380"/>
      <c r="L688" s="93"/>
      <c r="M688" s="93"/>
      <c r="N688" s="93"/>
      <c r="O688" s="93"/>
      <c r="P688" s="93"/>
      <c r="Q688" s="93"/>
      <c r="R688" s="93"/>
      <c r="S688" s="93"/>
      <c r="T688" s="252"/>
      <c r="U688" s="93"/>
      <c r="V688" s="379"/>
      <c r="W688" s="380"/>
      <c r="X688" s="93"/>
      <c r="Y688" s="93"/>
      <c r="Z688" s="93"/>
      <c r="AA688" s="93"/>
    </row>
    <row r="689" spans="1:27" x14ac:dyDescent="0.3">
      <c r="A689" s="511"/>
      <c r="B689" s="93"/>
      <c r="F689" s="369"/>
      <c r="G689" s="419"/>
      <c r="H689" s="252"/>
      <c r="I689" s="93"/>
      <c r="M689" s="301"/>
      <c r="O689" s="302"/>
      <c r="Q689" s="93"/>
      <c r="R689" s="93"/>
      <c r="S689" s="93"/>
      <c r="T689" s="252"/>
      <c r="U689" s="93"/>
      <c r="V689" s="379"/>
      <c r="W689" s="380"/>
      <c r="X689" s="93"/>
      <c r="Y689" s="93"/>
      <c r="Z689" s="93"/>
      <c r="AA689" s="93"/>
    </row>
    <row r="690" spans="1:27" ht="15.6" x14ac:dyDescent="0.3">
      <c r="A690" s="511"/>
      <c r="B690" s="93"/>
      <c r="D690" s="440"/>
      <c r="F690" s="369"/>
      <c r="G690" s="419"/>
      <c r="H690" s="252"/>
      <c r="M690" s="301"/>
      <c r="O690" s="369"/>
      <c r="P690" s="419"/>
      <c r="Q690" s="93"/>
      <c r="R690" s="252"/>
      <c r="S690" s="252"/>
      <c r="T690" s="252"/>
      <c r="U690" s="252"/>
      <c r="V690" s="379"/>
      <c r="W690" s="380"/>
      <c r="X690" s="93"/>
      <c r="Y690" s="93"/>
      <c r="Z690" s="93"/>
      <c r="AA690" s="93"/>
    </row>
    <row r="691" spans="1:27" ht="15.6" x14ac:dyDescent="0.3">
      <c r="A691" s="511"/>
      <c r="B691" s="93"/>
      <c r="D691" s="440"/>
      <c r="F691" s="369"/>
      <c r="G691" s="419"/>
      <c r="H691" s="252"/>
      <c r="I691" s="93"/>
      <c r="M691" s="301"/>
      <c r="O691" s="369"/>
      <c r="P691" s="419"/>
      <c r="Q691" s="93"/>
      <c r="R691" s="252"/>
      <c r="S691" s="252"/>
      <c r="T691" s="93"/>
      <c r="U691" s="252"/>
      <c r="V691" s="379"/>
      <c r="W691" s="380"/>
      <c r="X691" s="93"/>
      <c r="Y691" s="93"/>
      <c r="Z691" s="93"/>
      <c r="AA691" s="93"/>
    </row>
    <row r="692" spans="1:27" ht="15.6" x14ac:dyDescent="0.3">
      <c r="A692" s="511"/>
      <c r="B692" s="93"/>
      <c r="D692" s="441"/>
      <c r="F692" s="369"/>
      <c r="G692" s="419"/>
      <c r="H692" s="252"/>
      <c r="I692" s="93"/>
      <c r="M692" s="301"/>
      <c r="O692" s="369"/>
      <c r="P692" s="419"/>
      <c r="Q692" s="93"/>
      <c r="R692" s="252"/>
      <c r="S692" s="252"/>
      <c r="T692" s="93"/>
      <c r="U692" s="252"/>
      <c r="V692" s="379"/>
      <c r="W692" s="380"/>
      <c r="X692" s="93"/>
      <c r="Y692" s="93"/>
      <c r="Z692" s="93"/>
      <c r="AA692" s="93"/>
    </row>
    <row r="693" spans="1:27" ht="15.6" x14ac:dyDescent="0.3">
      <c r="A693" s="511"/>
      <c r="B693" s="93"/>
      <c r="D693" s="440"/>
      <c r="F693" s="369"/>
      <c r="G693" s="419"/>
      <c r="H693" s="252"/>
      <c r="J693" s="370"/>
      <c r="K693" s="93"/>
      <c r="L693" s="93"/>
      <c r="M693" s="301"/>
      <c r="O693" s="369"/>
      <c r="P693" s="419"/>
      <c r="Q693" s="93"/>
      <c r="R693" s="93"/>
      <c r="S693" s="93"/>
      <c r="T693" s="93"/>
      <c r="U693" s="93"/>
      <c r="V693" s="379"/>
      <c r="W693" s="380"/>
      <c r="X693" s="93"/>
      <c r="Y693" s="93"/>
      <c r="Z693" s="93"/>
      <c r="AA693" s="93"/>
    </row>
    <row r="694" spans="1:27" ht="15.6" x14ac:dyDescent="0.3">
      <c r="A694" s="511"/>
      <c r="B694" s="93"/>
      <c r="D694" s="440"/>
      <c r="F694" s="369"/>
      <c r="G694" s="419"/>
      <c r="H694" s="252"/>
      <c r="I694" s="93"/>
      <c r="L694" s="93"/>
      <c r="M694" s="301"/>
      <c r="O694" s="369"/>
      <c r="P694" s="419"/>
      <c r="Q694" s="93"/>
      <c r="R694" s="93"/>
      <c r="S694" s="93"/>
      <c r="T694" s="93"/>
      <c r="U694" s="93"/>
      <c r="V694" s="379"/>
      <c r="W694" s="380"/>
      <c r="X694" s="93"/>
      <c r="Y694" s="93"/>
      <c r="Z694" s="93"/>
      <c r="AA694" s="93"/>
    </row>
    <row r="695" spans="1:27" ht="15.6" x14ac:dyDescent="0.3">
      <c r="A695" s="511"/>
      <c r="B695" s="93"/>
      <c r="D695" s="440"/>
      <c r="F695" s="369"/>
      <c r="G695" s="419"/>
      <c r="H695" s="252"/>
      <c r="L695" s="93"/>
      <c r="M695" s="93"/>
      <c r="N695" s="93"/>
      <c r="O695" s="369"/>
      <c r="P695" s="419"/>
      <c r="Q695" s="93"/>
      <c r="R695" s="252"/>
      <c r="S695" s="93"/>
      <c r="T695" s="93"/>
      <c r="U695" s="252"/>
      <c r="V695" s="93"/>
      <c r="W695" s="93"/>
      <c r="X695" s="93"/>
      <c r="Y695" s="93"/>
      <c r="Z695" s="93"/>
      <c r="AA695" s="93"/>
    </row>
    <row r="696" spans="1:27" x14ac:dyDescent="0.3">
      <c r="A696" s="511"/>
      <c r="B696" s="93"/>
      <c r="F696" s="90"/>
      <c r="H696" s="302"/>
      <c r="L696" s="93"/>
      <c r="M696" s="93"/>
      <c r="N696" s="93"/>
      <c r="O696" s="369"/>
      <c r="P696" s="419"/>
      <c r="Q696" s="93"/>
      <c r="R696" s="252"/>
      <c r="S696" s="444"/>
      <c r="T696" s="93"/>
      <c r="U696" s="252"/>
      <c r="V696" s="93"/>
      <c r="W696" s="93"/>
      <c r="X696" s="93"/>
      <c r="Y696" s="93"/>
      <c r="Z696" s="93"/>
      <c r="AA696" s="93"/>
    </row>
    <row r="697" spans="1:27" x14ac:dyDescent="0.3">
      <c r="A697" s="511"/>
      <c r="B697" s="93"/>
      <c r="F697" s="369"/>
      <c r="G697" s="419"/>
      <c r="H697" s="252"/>
      <c r="I697" s="93"/>
      <c r="L697" s="93"/>
      <c r="M697" s="93"/>
      <c r="N697" s="93"/>
      <c r="O697" s="369"/>
      <c r="P697" s="419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</row>
    <row r="698" spans="1:27" x14ac:dyDescent="0.3">
      <c r="A698" s="511"/>
      <c r="B698" s="93"/>
      <c r="F698" s="369"/>
      <c r="G698" s="419"/>
      <c r="H698" s="252"/>
      <c r="I698" s="93"/>
      <c r="L698" s="93"/>
      <c r="N698" s="93"/>
      <c r="O698" s="369"/>
      <c r="P698" s="419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</row>
    <row r="699" spans="1:27" x14ac:dyDescent="0.3">
      <c r="A699" s="511"/>
      <c r="B699" s="93"/>
      <c r="F699" s="369"/>
      <c r="G699" s="419"/>
      <c r="H699" s="252"/>
      <c r="I699" s="93"/>
      <c r="L699" s="93"/>
      <c r="N699" s="93"/>
      <c r="O699" s="369"/>
      <c r="P699" s="419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</row>
    <row r="700" spans="1:27" x14ac:dyDescent="0.3">
      <c r="A700" s="511"/>
      <c r="B700" s="93"/>
      <c r="F700" s="369"/>
      <c r="G700" s="419"/>
      <c r="H700" s="252"/>
      <c r="I700" s="93"/>
      <c r="L700" s="93"/>
      <c r="O700" s="369"/>
      <c r="P700" s="419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</row>
    <row r="701" spans="1:27" x14ac:dyDescent="0.3">
      <c r="A701" s="511"/>
      <c r="B701" s="93"/>
      <c r="F701" s="369"/>
      <c r="G701" s="419"/>
      <c r="H701" s="252"/>
      <c r="I701" s="93"/>
      <c r="L701" s="93"/>
      <c r="O701" s="369"/>
      <c r="P701" s="419"/>
      <c r="Q701" s="93"/>
      <c r="R701" s="93"/>
      <c r="S701" s="380"/>
      <c r="T701" s="93"/>
      <c r="U701" s="93"/>
      <c r="V701" s="380"/>
      <c r="W701" s="93"/>
      <c r="X701" s="93"/>
      <c r="Y701" s="93"/>
      <c r="Z701" s="93"/>
      <c r="AA701" s="93"/>
    </row>
    <row r="702" spans="1:27" x14ac:dyDescent="0.3">
      <c r="A702" s="511"/>
      <c r="B702" s="93"/>
      <c r="F702" s="369"/>
      <c r="G702" s="419"/>
      <c r="H702" s="252"/>
      <c r="I702" s="93"/>
      <c r="L702" s="93"/>
      <c r="N702" s="93"/>
      <c r="O702" s="369"/>
      <c r="P702" s="419"/>
      <c r="Q702" s="93"/>
      <c r="R702" s="93"/>
      <c r="S702" s="380"/>
      <c r="T702" s="93"/>
      <c r="U702" s="93"/>
      <c r="V702" s="380"/>
      <c r="W702" s="93"/>
      <c r="X702" s="93"/>
      <c r="Y702" s="93"/>
      <c r="Z702" s="93"/>
      <c r="AA702" s="93"/>
    </row>
    <row r="703" spans="1:27" x14ac:dyDescent="0.3">
      <c r="A703" s="511"/>
      <c r="B703" s="93"/>
      <c r="C703" s="93"/>
      <c r="D703" s="93"/>
      <c r="E703" s="93"/>
      <c r="F703" s="369"/>
      <c r="G703" s="419"/>
      <c r="H703" s="252"/>
      <c r="I703" s="93"/>
      <c r="L703" s="93"/>
      <c r="O703" s="369"/>
      <c r="P703" s="419"/>
      <c r="Q703" s="93"/>
      <c r="R703" s="93"/>
      <c r="S703" s="93"/>
      <c r="T703" s="93"/>
      <c r="U703" s="93"/>
      <c r="V703" s="380"/>
      <c r="W703" s="93"/>
      <c r="X703" s="93"/>
      <c r="Y703" s="93"/>
      <c r="Z703" s="93"/>
      <c r="AA703" s="93"/>
    </row>
    <row r="704" spans="1:27" x14ac:dyDescent="0.3">
      <c r="A704" s="511"/>
      <c r="B704" s="93"/>
      <c r="C704" s="93"/>
      <c r="D704" s="93"/>
      <c r="E704" s="93"/>
      <c r="F704" s="286"/>
      <c r="G704" s="93"/>
      <c r="H704" s="252"/>
      <c r="I704" s="93"/>
      <c r="J704" s="93"/>
      <c r="K704" s="93"/>
      <c r="L704" s="93"/>
      <c r="O704" s="369"/>
      <c r="P704" s="419"/>
      <c r="Q704" s="93"/>
      <c r="R704" s="93"/>
      <c r="S704" s="93"/>
      <c r="T704" s="93"/>
      <c r="U704" s="93"/>
      <c r="V704" s="380"/>
      <c r="W704" s="93"/>
      <c r="X704" s="93"/>
      <c r="Y704" s="93"/>
      <c r="Z704" s="93"/>
      <c r="AA704" s="93"/>
    </row>
    <row r="705" spans="1:37" x14ac:dyDescent="0.3">
      <c r="A705" s="511"/>
      <c r="B705" s="93"/>
      <c r="C705" s="93"/>
      <c r="D705" s="93"/>
      <c r="E705" s="93"/>
      <c r="F705" s="90"/>
      <c r="H705" s="302"/>
      <c r="I705" s="93"/>
      <c r="J705" s="93"/>
      <c r="K705" s="93"/>
      <c r="L705" s="93"/>
      <c r="O705" s="369"/>
      <c r="P705" s="419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</row>
    <row r="706" spans="1:37" x14ac:dyDescent="0.3">
      <c r="A706" s="511"/>
      <c r="B706" s="93"/>
      <c r="C706" s="93"/>
      <c r="D706" s="93"/>
      <c r="E706" s="93"/>
      <c r="F706" s="90"/>
      <c r="H706" s="302"/>
      <c r="I706" s="93"/>
      <c r="J706" s="93"/>
      <c r="K706" s="93"/>
      <c r="L706" s="93"/>
      <c r="O706" s="369"/>
      <c r="P706" s="419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</row>
    <row r="707" spans="1:37" x14ac:dyDescent="0.3">
      <c r="A707" s="511"/>
      <c r="B707" s="93"/>
      <c r="C707" s="93"/>
      <c r="D707" s="93"/>
      <c r="E707" s="93"/>
      <c r="F707" s="90"/>
      <c r="H707" s="302"/>
      <c r="I707" s="93"/>
      <c r="J707" s="93"/>
      <c r="K707" s="93"/>
      <c r="L707" s="93"/>
      <c r="O707" s="369"/>
      <c r="P707" s="419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</row>
    <row r="708" spans="1:37" x14ac:dyDescent="0.3">
      <c r="A708" s="511"/>
      <c r="B708" s="93"/>
      <c r="C708" s="93"/>
      <c r="D708" s="93"/>
      <c r="E708" s="93"/>
      <c r="F708" s="90"/>
      <c r="H708" s="302"/>
      <c r="I708" s="93"/>
      <c r="J708" s="93"/>
      <c r="K708" s="93"/>
      <c r="L708" s="93"/>
      <c r="O708" s="369"/>
      <c r="P708" s="419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</row>
    <row r="709" spans="1:37" x14ac:dyDescent="0.3">
      <c r="A709" s="511"/>
      <c r="B709" s="93"/>
      <c r="C709" s="93"/>
      <c r="D709" s="93"/>
      <c r="E709" s="93"/>
      <c r="F709" s="286"/>
      <c r="G709" s="93"/>
      <c r="H709" s="252"/>
      <c r="I709" s="93"/>
      <c r="J709" s="93"/>
      <c r="K709" s="93"/>
      <c r="L709" s="93"/>
      <c r="O709" s="369"/>
      <c r="P709" s="419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</row>
    <row r="710" spans="1:37" s="96" customFormat="1" ht="15" thickBot="1" x14ac:dyDescent="0.35">
      <c r="A710" s="512"/>
      <c r="F710" s="295"/>
      <c r="H710" s="421"/>
      <c r="AK710" s="362"/>
    </row>
    <row r="711" spans="1:37" ht="24" thickBot="1" x14ac:dyDescent="0.35">
      <c r="A711" s="510" t="s">
        <v>1066</v>
      </c>
      <c r="B711" s="513" t="s">
        <v>156</v>
      </c>
      <c r="C711" s="514"/>
      <c r="D711" s="514"/>
      <c r="E711" s="515"/>
      <c r="F711" s="285"/>
      <c r="G711" s="513" t="s">
        <v>157</v>
      </c>
      <c r="H711" s="514"/>
      <c r="I711" s="514"/>
      <c r="J711" s="515"/>
      <c r="K711" s="246"/>
      <c r="L711" s="516" t="s">
        <v>158</v>
      </c>
      <c r="M711" s="517"/>
      <c r="N711" s="517"/>
      <c r="O711" s="518"/>
      <c r="P711" s="247"/>
      <c r="Q711" s="516" t="s">
        <v>159</v>
      </c>
      <c r="R711" s="517"/>
      <c r="S711" s="517"/>
      <c r="T711" s="518"/>
      <c r="U711" s="246"/>
      <c r="Z711" s="246"/>
      <c r="AA711" s="246"/>
      <c r="AC711" s="516" t="s">
        <v>161</v>
      </c>
      <c r="AD711" s="517"/>
      <c r="AE711" s="517"/>
      <c r="AF711" s="518"/>
      <c r="AH711" s="519" t="s">
        <v>161</v>
      </c>
      <c r="AI711" s="520"/>
      <c r="AJ711" s="520"/>
      <c r="AK711" s="521"/>
    </row>
    <row r="712" spans="1:37" x14ac:dyDescent="0.3">
      <c r="A712" s="511"/>
      <c r="B712" s="461" t="s">
        <v>417</v>
      </c>
      <c r="C712" s="335" t="s">
        <v>456</v>
      </c>
      <c r="D712" s="336">
        <v>720</v>
      </c>
      <c r="E712" s="335">
        <v>1</v>
      </c>
      <c r="F712" s="286"/>
      <c r="G712" s="335" t="s">
        <v>981</v>
      </c>
      <c r="H712" s="335" t="s">
        <v>731</v>
      </c>
      <c r="I712" s="336">
        <v>268</v>
      </c>
      <c r="J712" s="335">
        <v>4</v>
      </c>
      <c r="K712" s="93"/>
      <c r="L712" s="335" t="s">
        <v>182</v>
      </c>
      <c r="M712" s="335" t="s">
        <v>165</v>
      </c>
      <c r="N712" s="382">
        <v>585</v>
      </c>
      <c r="O712" s="335">
        <v>1</v>
      </c>
      <c r="P712" s="93"/>
      <c r="Q712" s="335" t="s">
        <v>196</v>
      </c>
      <c r="R712" s="335" t="s">
        <v>197</v>
      </c>
      <c r="S712" s="382">
        <v>777.2</v>
      </c>
      <c r="T712" s="335">
        <v>1</v>
      </c>
      <c r="U712" s="93"/>
      <c r="Z712" s="93"/>
      <c r="AA712" s="93"/>
      <c r="AC712" s="335" t="s">
        <v>906</v>
      </c>
      <c r="AD712" s="335" t="s">
        <v>907</v>
      </c>
      <c r="AE712" s="335">
        <v>515.20000000000005</v>
      </c>
      <c r="AF712" s="335">
        <v>116</v>
      </c>
      <c r="AH712" s="337" t="s">
        <v>755</v>
      </c>
      <c r="AI712" s="337" t="s">
        <v>431</v>
      </c>
      <c r="AJ712" s="337">
        <v>405.72</v>
      </c>
      <c r="AK712" s="337">
        <v>4</v>
      </c>
    </row>
    <row r="713" spans="1:37" x14ac:dyDescent="0.3">
      <c r="A713" s="511"/>
      <c r="B713" s="91" t="s">
        <v>454</v>
      </c>
      <c r="C713" s="337" t="s">
        <v>455</v>
      </c>
      <c r="D713" s="338">
        <v>49560</v>
      </c>
      <c r="E713" s="337">
        <v>15</v>
      </c>
      <c r="F713" s="286"/>
      <c r="G713" s="337" t="s">
        <v>629</v>
      </c>
      <c r="H713" s="337" t="s">
        <v>630</v>
      </c>
      <c r="I713" s="338">
        <v>2194</v>
      </c>
      <c r="J713" s="337">
        <v>1</v>
      </c>
      <c r="K713" s="93"/>
      <c r="L713" s="337" t="s">
        <v>808</v>
      </c>
      <c r="M713" s="337" t="s">
        <v>165</v>
      </c>
      <c r="N713" s="339">
        <v>5850</v>
      </c>
      <c r="O713" s="337">
        <v>10</v>
      </c>
      <c r="P713" s="93"/>
      <c r="Q713" s="337" t="s">
        <v>319</v>
      </c>
      <c r="R713" s="337" t="s">
        <v>320</v>
      </c>
      <c r="S713" s="339">
        <v>27632</v>
      </c>
      <c r="T713" s="337">
        <v>16</v>
      </c>
      <c r="U713" s="93"/>
      <c r="Z713" s="93"/>
      <c r="AA713" s="93"/>
      <c r="AC713" s="337" t="s">
        <v>909</v>
      </c>
      <c r="AD713" s="337" t="s">
        <v>907</v>
      </c>
      <c r="AE713" s="337">
        <v>440</v>
      </c>
      <c r="AF713" s="337">
        <v>110</v>
      </c>
      <c r="AH713" s="337" t="s">
        <v>297</v>
      </c>
      <c r="AI713" s="337" t="s">
        <v>298</v>
      </c>
      <c r="AJ713" s="337">
        <v>169</v>
      </c>
      <c r="AK713" s="337">
        <v>100</v>
      </c>
    </row>
    <row r="714" spans="1:37" x14ac:dyDescent="0.3">
      <c r="A714" s="511"/>
      <c r="B714" s="91" t="s">
        <v>179</v>
      </c>
      <c r="C714" s="337" t="s">
        <v>162</v>
      </c>
      <c r="D714" s="338">
        <v>42012</v>
      </c>
      <c r="E714" s="337">
        <v>27</v>
      </c>
      <c r="F714" s="286"/>
      <c r="G714" s="337" t="s">
        <v>631</v>
      </c>
      <c r="H714" s="337" t="s">
        <v>630</v>
      </c>
      <c r="I714" s="338">
        <v>2194</v>
      </c>
      <c r="J714" s="337">
        <v>1</v>
      </c>
      <c r="K714" s="93"/>
      <c r="L714" s="337" t="s">
        <v>483</v>
      </c>
      <c r="M714" s="337" t="s">
        <v>165</v>
      </c>
      <c r="N714" s="339">
        <v>7605</v>
      </c>
      <c r="O714" s="337">
        <v>9</v>
      </c>
      <c r="P714" s="93"/>
      <c r="Q714" s="337" t="s">
        <v>166</v>
      </c>
      <c r="R714" s="337" t="s">
        <v>167</v>
      </c>
      <c r="S714" s="339">
        <v>14970</v>
      </c>
      <c r="T714" s="337">
        <v>10</v>
      </c>
      <c r="U714" s="93"/>
      <c r="Z714" s="93"/>
      <c r="AA714" s="93"/>
      <c r="AC714" s="337" t="s">
        <v>910</v>
      </c>
      <c r="AD714" s="337" t="s">
        <v>911</v>
      </c>
      <c r="AE714" s="337">
        <v>294</v>
      </c>
      <c r="AF714" s="337">
        <v>60</v>
      </c>
      <c r="AH714" s="337" t="s">
        <v>299</v>
      </c>
      <c r="AI714" s="337" t="s">
        <v>298</v>
      </c>
      <c r="AJ714" s="337">
        <v>169</v>
      </c>
      <c r="AK714" s="337">
        <v>100</v>
      </c>
    </row>
    <row r="715" spans="1:37" x14ac:dyDescent="0.3">
      <c r="A715" s="511"/>
      <c r="B715" s="91" t="s">
        <v>203</v>
      </c>
      <c r="C715" s="337" t="s">
        <v>806</v>
      </c>
      <c r="D715" s="338">
        <v>29873.200000000001</v>
      </c>
      <c r="E715" s="337">
        <v>11</v>
      </c>
      <c r="F715" s="286"/>
      <c r="G715" s="337" t="s">
        <v>180</v>
      </c>
      <c r="H715" s="337" t="s">
        <v>181</v>
      </c>
      <c r="I715" s="338">
        <v>7690</v>
      </c>
      <c r="J715" s="337">
        <v>2</v>
      </c>
      <c r="K715" s="93"/>
      <c r="L715" s="337" t="s">
        <v>164</v>
      </c>
      <c r="M715" s="337" t="s">
        <v>165</v>
      </c>
      <c r="N715" s="339">
        <v>3004</v>
      </c>
      <c r="O715" s="337">
        <v>4</v>
      </c>
      <c r="P715" s="93"/>
      <c r="Q715" s="337" t="s">
        <v>484</v>
      </c>
      <c r="R715" s="337" t="s">
        <v>174</v>
      </c>
      <c r="S715" s="339">
        <v>2060</v>
      </c>
      <c r="T715" s="337">
        <v>2</v>
      </c>
      <c r="U715" s="93"/>
      <c r="Z715" s="93"/>
      <c r="AA715" s="93"/>
      <c r="AC715" s="337" t="s">
        <v>1027</v>
      </c>
      <c r="AD715" s="337" t="s">
        <v>457</v>
      </c>
      <c r="AE715" s="337">
        <v>36</v>
      </c>
      <c r="AF715" s="337">
        <v>1</v>
      </c>
      <c r="AH715" s="337" t="s">
        <v>761</v>
      </c>
      <c r="AI715" s="337" t="s">
        <v>301</v>
      </c>
      <c r="AJ715" s="337">
        <v>0</v>
      </c>
      <c r="AK715" s="337">
        <v>29</v>
      </c>
    </row>
    <row r="716" spans="1:37" x14ac:dyDescent="0.3">
      <c r="A716" s="511"/>
      <c r="B716" s="91" t="s">
        <v>807</v>
      </c>
      <c r="C716" s="337" t="s">
        <v>170</v>
      </c>
      <c r="D716" s="338">
        <v>1411</v>
      </c>
      <c r="E716" s="337">
        <v>1</v>
      </c>
      <c r="F716" s="286"/>
      <c r="G716" s="337" t="s">
        <v>331</v>
      </c>
      <c r="H716" s="337" t="s">
        <v>181</v>
      </c>
      <c r="I716" s="338">
        <v>1980</v>
      </c>
      <c r="J716" s="337">
        <v>3</v>
      </c>
      <c r="K716" s="93"/>
      <c r="L716" s="337" t="s">
        <v>322</v>
      </c>
      <c r="M716" s="337" t="s">
        <v>165</v>
      </c>
      <c r="N716" s="339">
        <v>1586</v>
      </c>
      <c r="O716" s="337">
        <v>2</v>
      </c>
      <c r="P716" s="93"/>
      <c r="Q716" s="337" t="s">
        <v>173</v>
      </c>
      <c r="R716" s="337" t="s">
        <v>174</v>
      </c>
      <c r="S716" s="339">
        <v>1131</v>
      </c>
      <c r="T716" s="337">
        <v>1</v>
      </c>
      <c r="U716" s="93"/>
      <c r="Z716" s="93"/>
      <c r="AA716" s="93"/>
      <c r="AC716" s="337" t="s">
        <v>1071</v>
      </c>
      <c r="AD716" s="337" t="s">
        <v>336</v>
      </c>
      <c r="AE716" s="337">
        <v>200</v>
      </c>
      <c r="AF716" s="337">
        <v>8</v>
      </c>
      <c r="AH716" s="337" t="s">
        <v>308</v>
      </c>
      <c r="AI716" s="337" t="s">
        <v>301</v>
      </c>
      <c r="AJ716" s="339">
        <v>1011</v>
      </c>
      <c r="AK716" s="337">
        <v>10</v>
      </c>
    </row>
    <row r="717" spans="1:37" x14ac:dyDescent="0.3">
      <c r="A717" s="511"/>
      <c r="B717" s="91" t="s">
        <v>334</v>
      </c>
      <c r="C717" s="337" t="s">
        <v>170</v>
      </c>
      <c r="D717" s="339">
        <v>4767</v>
      </c>
      <c r="E717" s="337">
        <v>3</v>
      </c>
      <c r="F717" s="286"/>
      <c r="G717" s="337" t="s">
        <v>564</v>
      </c>
      <c r="H717" s="337" t="s">
        <v>181</v>
      </c>
      <c r="I717" s="338">
        <v>48657</v>
      </c>
      <c r="J717" s="337">
        <v>21</v>
      </c>
      <c r="K717" s="93"/>
      <c r="L717" s="337" t="s">
        <v>185</v>
      </c>
      <c r="M717" s="337" t="s">
        <v>165</v>
      </c>
      <c r="N717" s="339">
        <v>15067</v>
      </c>
      <c r="O717" s="337">
        <v>12</v>
      </c>
      <c r="P717" s="93"/>
      <c r="Q717" s="337" t="s">
        <v>1021</v>
      </c>
      <c r="R717" s="337" t="s">
        <v>174</v>
      </c>
      <c r="S717" s="339">
        <v>7432.08</v>
      </c>
      <c r="T717" s="337">
        <v>9</v>
      </c>
      <c r="U717" s="93"/>
      <c r="Z717" s="93"/>
      <c r="AA717" s="93"/>
      <c r="AC717" s="337" t="s">
        <v>498</v>
      </c>
      <c r="AD717" s="337" t="s">
        <v>205</v>
      </c>
      <c r="AE717" s="337">
        <v>26</v>
      </c>
      <c r="AF717" s="337">
        <v>28</v>
      </c>
      <c r="AH717" s="337" t="s">
        <v>306</v>
      </c>
      <c r="AI717" s="337" t="s">
        <v>301</v>
      </c>
      <c r="AJ717" s="339">
        <v>1856.98</v>
      </c>
      <c r="AK717" s="337">
        <v>19</v>
      </c>
    </row>
    <row r="718" spans="1:37" x14ac:dyDescent="0.3">
      <c r="A718" s="511"/>
      <c r="B718" s="91" t="s">
        <v>169</v>
      </c>
      <c r="C718" s="337" t="s">
        <v>170</v>
      </c>
      <c r="D718" s="339">
        <v>14892.8</v>
      </c>
      <c r="E718" s="337">
        <v>8</v>
      </c>
      <c r="F718" s="311"/>
      <c r="G718" s="337" t="s">
        <v>325</v>
      </c>
      <c r="H718" s="337" t="s">
        <v>181</v>
      </c>
      <c r="I718" s="338">
        <v>21320</v>
      </c>
      <c r="J718" s="337">
        <v>13</v>
      </c>
      <c r="K718" s="93"/>
      <c r="L718" s="337" t="s">
        <v>916</v>
      </c>
      <c r="M718" s="337" t="s">
        <v>165</v>
      </c>
      <c r="N718" s="339">
        <v>751</v>
      </c>
      <c r="O718" s="337">
        <v>1</v>
      </c>
      <c r="P718" s="93"/>
      <c r="Q718" s="337" t="s">
        <v>186</v>
      </c>
      <c r="R718" s="337" t="s">
        <v>174</v>
      </c>
      <c r="S718" s="339">
        <v>23636</v>
      </c>
      <c r="T718" s="337">
        <v>33</v>
      </c>
      <c r="U718" s="93"/>
      <c r="Z718" s="93"/>
      <c r="AA718" s="93"/>
      <c r="AC718" s="337" t="s">
        <v>500</v>
      </c>
      <c r="AD718" s="337" t="s">
        <v>205</v>
      </c>
      <c r="AE718" s="337">
        <v>26</v>
      </c>
      <c r="AF718" s="337">
        <v>27</v>
      </c>
      <c r="AH718" s="337" t="s">
        <v>300</v>
      </c>
      <c r="AI718" s="337" t="s">
        <v>301</v>
      </c>
      <c r="AJ718" s="337">
        <v>816.9</v>
      </c>
      <c r="AK718" s="337">
        <v>9</v>
      </c>
    </row>
    <row r="719" spans="1:37" x14ac:dyDescent="0.3">
      <c r="A719" s="511"/>
      <c r="B719" s="91" t="s">
        <v>627</v>
      </c>
      <c r="C719" s="337" t="s">
        <v>170</v>
      </c>
      <c r="D719" s="339">
        <v>3633</v>
      </c>
      <c r="E719" s="337">
        <v>1</v>
      </c>
      <c r="F719" s="311"/>
      <c r="G719" s="337" t="s">
        <v>177</v>
      </c>
      <c r="H719" s="337" t="s">
        <v>181</v>
      </c>
      <c r="I719" s="338">
        <v>27524</v>
      </c>
      <c r="J719" s="337">
        <v>14</v>
      </c>
      <c r="K719" s="93"/>
      <c r="L719" s="337" t="s">
        <v>635</v>
      </c>
      <c r="M719" s="337" t="s">
        <v>165</v>
      </c>
      <c r="N719" s="339">
        <v>2492</v>
      </c>
      <c r="O719" s="337">
        <v>2</v>
      </c>
      <c r="P719" s="93"/>
      <c r="Q719" s="337" t="s">
        <v>915</v>
      </c>
      <c r="R719" s="337" t="s">
        <v>174</v>
      </c>
      <c r="S719" s="339">
        <v>2512</v>
      </c>
      <c r="T719" s="337">
        <v>1</v>
      </c>
      <c r="U719" s="93"/>
      <c r="Z719" s="93"/>
      <c r="AA719" s="93"/>
      <c r="AC719" s="337" t="s">
        <v>204</v>
      </c>
      <c r="AD719" s="337" t="s">
        <v>205</v>
      </c>
      <c r="AE719" s="337">
        <v>53.82</v>
      </c>
      <c r="AF719" s="337">
        <v>18</v>
      </c>
      <c r="AH719" s="337" t="s">
        <v>216</v>
      </c>
      <c r="AI719" s="337" t="s">
        <v>399</v>
      </c>
      <c r="AJ719" s="337">
        <v>102.9</v>
      </c>
      <c r="AK719" s="337">
        <v>70</v>
      </c>
    </row>
    <row r="720" spans="1:37" x14ac:dyDescent="0.3">
      <c r="A720" s="511"/>
      <c r="B720" s="91" t="s">
        <v>191</v>
      </c>
      <c r="C720" s="337" t="s">
        <v>170</v>
      </c>
      <c r="D720" s="339">
        <v>12404</v>
      </c>
      <c r="E720" s="337">
        <v>2</v>
      </c>
      <c r="F720" s="286"/>
      <c r="G720" s="337" t="s">
        <v>377</v>
      </c>
      <c r="H720" s="337" t="s">
        <v>181</v>
      </c>
      <c r="I720" s="338">
        <v>1599</v>
      </c>
      <c r="J720" s="337">
        <v>1</v>
      </c>
      <c r="K720" s="93"/>
      <c r="L720" s="337" t="s">
        <v>171</v>
      </c>
      <c r="M720" s="337" t="s">
        <v>172</v>
      </c>
      <c r="N720" s="339">
        <v>27787</v>
      </c>
      <c r="O720" s="337">
        <v>37</v>
      </c>
      <c r="P720" s="93"/>
      <c r="Q720" s="337" t="s">
        <v>637</v>
      </c>
      <c r="R720" s="337" t="s">
        <v>174</v>
      </c>
      <c r="S720" s="339">
        <v>21861</v>
      </c>
      <c r="T720" s="337">
        <v>7</v>
      </c>
      <c r="U720" s="93"/>
      <c r="Z720" s="93"/>
      <c r="AA720" s="93"/>
      <c r="AC720" s="337" t="s">
        <v>845</v>
      </c>
      <c r="AD720" s="337" t="s">
        <v>205</v>
      </c>
      <c r="AE720" s="337">
        <v>0</v>
      </c>
      <c r="AF720" s="337">
        <v>4</v>
      </c>
      <c r="AH720" s="337" t="s">
        <v>869</v>
      </c>
      <c r="AI720" s="337" t="s">
        <v>399</v>
      </c>
      <c r="AJ720" s="337">
        <v>14</v>
      </c>
      <c r="AK720" s="337">
        <v>4</v>
      </c>
    </row>
    <row r="721" spans="1:37" x14ac:dyDescent="0.3">
      <c r="A721" s="511"/>
      <c r="B721" s="91" t="s">
        <v>482</v>
      </c>
      <c r="C721" s="337" t="s">
        <v>170</v>
      </c>
      <c r="D721" s="339">
        <v>28525</v>
      </c>
      <c r="E721" s="337">
        <v>7</v>
      </c>
      <c r="F721" s="286"/>
      <c r="G721" s="337" t="s">
        <v>163</v>
      </c>
      <c r="H721" s="337" t="s">
        <v>181</v>
      </c>
      <c r="I721" s="338">
        <v>71955</v>
      </c>
      <c r="J721" s="337">
        <v>45</v>
      </c>
      <c r="K721" s="93"/>
      <c r="L721" s="337" t="s">
        <v>192</v>
      </c>
      <c r="M721" s="337" t="s">
        <v>551</v>
      </c>
      <c r="N721" s="339">
        <v>11580</v>
      </c>
      <c r="O721" s="337">
        <v>12</v>
      </c>
      <c r="P721" s="93"/>
      <c r="Q721" s="337" t="s">
        <v>535</v>
      </c>
      <c r="R721" s="337" t="s">
        <v>174</v>
      </c>
      <c r="S721" s="339">
        <v>2348</v>
      </c>
      <c r="T721" s="337">
        <v>2</v>
      </c>
      <c r="U721" s="93"/>
      <c r="Z721" s="93"/>
      <c r="AA721" s="93"/>
      <c r="AC721" s="337" t="s">
        <v>919</v>
      </c>
      <c r="AD721" s="337" t="s">
        <v>205</v>
      </c>
      <c r="AE721" s="337">
        <v>20</v>
      </c>
      <c r="AF721" s="337">
        <v>1</v>
      </c>
      <c r="AH721" s="337" t="s">
        <v>302</v>
      </c>
      <c r="AI721" s="337" t="s">
        <v>303</v>
      </c>
      <c r="AJ721" s="337">
        <v>140.69999999999999</v>
      </c>
      <c r="AK721" s="337">
        <v>54</v>
      </c>
    </row>
    <row r="722" spans="1:37" x14ac:dyDescent="0.3">
      <c r="A722" s="511"/>
      <c r="B722" s="91" t="s">
        <v>188</v>
      </c>
      <c r="C722" s="337" t="s">
        <v>170</v>
      </c>
      <c r="D722" s="339">
        <v>14184</v>
      </c>
      <c r="E722" s="337">
        <v>2</v>
      </c>
      <c r="F722" s="286"/>
      <c r="G722" s="337" t="s">
        <v>632</v>
      </c>
      <c r="H722" s="337" t="s">
        <v>181</v>
      </c>
      <c r="I722" s="338">
        <v>2521</v>
      </c>
      <c r="J722" s="337">
        <v>1</v>
      </c>
      <c r="K722" s="93"/>
      <c r="L722" s="337"/>
      <c r="M722" s="337"/>
      <c r="N722" s="339"/>
      <c r="O722" s="337"/>
      <c r="P722" s="93"/>
      <c r="Q722" s="337" t="s">
        <v>1067</v>
      </c>
      <c r="R722" s="337" t="s">
        <v>1068</v>
      </c>
      <c r="S722" s="339">
        <v>940</v>
      </c>
      <c r="T722" s="337">
        <v>1</v>
      </c>
      <c r="U722" s="93"/>
      <c r="Z722" s="93"/>
      <c r="AA722" s="93"/>
      <c r="AC722" s="337" t="s">
        <v>190</v>
      </c>
      <c r="AD722" s="337" t="s">
        <v>205</v>
      </c>
      <c r="AE722" s="337">
        <v>28</v>
      </c>
      <c r="AF722" s="337">
        <v>8</v>
      </c>
      <c r="AH722" s="337" t="s">
        <v>871</v>
      </c>
      <c r="AI722" s="337" t="s">
        <v>303</v>
      </c>
      <c r="AJ722" s="337">
        <v>20.100000000000001</v>
      </c>
      <c r="AK722" s="337">
        <v>3</v>
      </c>
    </row>
    <row r="723" spans="1:37" x14ac:dyDescent="0.3">
      <c r="A723" s="511"/>
      <c r="B723" s="91" t="s">
        <v>550</v>
      </c>
      <c r="C723" s="337" t="s">
        <v>170</v>
      </c>
      <c r="D723" s="339">
        <v>28363</v>
      </c>
      <c r="E723" s="337">
        <v>4</v>
      </c>
      <c r="F723" s="286"/>
      <c r="G723" s="337" t="s">
        <v>195</v>
      </c>
      <c r="H723" s="337" t="s">
        <v>181</v>
      </c>
      <c r="I723" s="338">
        <v>15126</v>
      </c>
      <c r="J723" s="337">
        <v>6</v>
      </c>
      <c r="K723" s="93"/>
      <c r="L723" s="337"/>
      <c r="M723" s="337"/>
      <c r="N723" s="339"/>
      <c r="O723" s="337"/>
      <c r="P723" s="93"/>
      <c r="Q723" s="337" t="s">
        <v>485</v>
      </c>
      <c r="R723" s="337" t="s">
        <v>420</v>
      </c>
      <c r="S723" s="339">
        <v>9270</v>
      </c>
      <c r="T723" s="337">
        <v>9</v>
      </c>
      <c r="U723" s="93"/>
      <c r="Z723" s="93"/>
      <c r="AA723" s="93"/>
      <c r="AC723" s="337" t="s">
        <v>388</v>
      </c>
      <c r="AD723" s="337" t="s">
        <v>205</v>
      </c>
      <c r="AE723" s="337">
        <v>76</v>
      </c>
      <c r="AF723" s="337">
        <v>16</v>
      </c>
      <c r="AH723" s="337" t="s">
        <v>432</v>
      </c>
      <c r="AI723" s="337" t="s">
        <v>561</v>
      </c>
      <c r="AJ723" s="337">
        <v>0</v>
      </c>
      <c r="AK723" s="337">
        <v>3</v>
      </c>
    </row>
    <row r="724" spans="1:37" x14ac:dyDescent="0.3">
      <c r="A724" s="511"/>
      <c r="B724" s="91" t="s">
        <v>445</v>
      </c>
      <c r="C724" s="337" t="s">
        <v>170</v>
      </c>
      <c r="D724" s="339">
        <v>21540</v>
      </c>
      <c r="E724" s="337">
        <v>12</v>
      </c>
      <c r="F724" s="286"/>
      <c r="G724" s="337" t="s">
        <v>982</v>
      </c>
      <c r="H724" s="337" t="s">
        <v>181</v>
      </c>
      <c r="I724" s="338">
        <v>11955</v>
      </c>
      <c r="J724" s="337">
        <v>3</v>
      </c>
      <c r="K724" s="93"/>
      <c r="L724" s="337"/>
      <c r="M724" s="337"/>
      <c r="N724" s="339"/>
      <c r="O724" s="337"/>
      <c r="P724" s="93"/>
      <c r="Q724" s="337" t="s">
        <v>641</v>
      </c>
      <c r="R724" s="337" t="s">
        <v>423</v>
      </c>
      <c r="S724" s="339">
        <v>6186</v>
      </c>
      <c r="T724" s="337">
        <v>3</v>
      </c>
      <c r="U724" s="93"/>
      <c r="X724" s="302"/>
      <c r="Z724" s="93"/>
      <c r="AA724" s="93"/>
      <c r="AC724" s="337" t="s">
        <v>386</v>
      </c>
      <c r="AD724" s="337" t="s">
        <v>205</v>
      </c>
      <c r="AE724" s="337">
        <v>28</v>
      </c>
      <c r="AF724" s="337">
        <v>8</v>
      </c>
      <c r="AH724" s="337" t="s">
        <v>309</v>
      </c>
      <c r="AI724" s="337" t="s">
        <v>368</v>
      </c>
      <c r="AJ724" s="339">
        <v>1797.3</v>
      </c>
      <c r="AK724" s="337">
        <v>41</v>
      </c>
    </row>
    <row r="725" spans="1:37" x14ac:dyDescent="0.3">
      <c r="A725" s="511"/>
      <c r="B725" s="91" t="s">
        <v>920</v>
      </c>
      <c r="C725" s="337" t="s">
        <v>170</v>
      </c>
      <c r="D725" s="339">
        <v>6284</v>
      </c>
      <c r="E725" s="337">
        <v>1</v>
      </c>
      <c r="F725" s="286"/>
      <c r="G725" s="337"/>
      <c r="H725" s="337"/>
      <c r="I725" s="338"/>
      <c r="J725" s="337"/>
      <c r="K725" s="93"/>
      <c r="L725" s="337"/>
      <c r="M725" s="337"/>
      <c r="N725" s="339"/>
      <c r="O725" s="337"/>
      <c r="P725" s="93"/>
      <c r="Q725" s="337" t="s">
        <v>813</v>
      </c>
      <c r="R725" s="337" t="s">
        <v>423</v>
      </c>
      <c r="S725" s="339">
        <v>4140</v>
      </c>
      <c r="T725" s="337">
        <v>1</v>
      </c>
      <c r="U725" s="93"/>
      <c r="X725" s="302"/>
      <c r="Z725" s="93"/>
      <c r="AA725" s="93"/>
      <c r="AC725" s="337" t="s">
        <v>235</v>
      </c>
      <c r="AD725" s="337" t="s">
        <v>205</v>
      </c>
      <c r="AE725" s="337">
        <v>168</v>
      </c>
      <c r="AF725" s="337">
        <v>20</v>
      </c>
      <c r="AH725" s="337" t="s">
        <v>768</v>
      </c>
      <c r="AI725" s="337" t="s">
        <v>769</v>
      </c>
      <c r="AJ725" s="337">
        <v>868</v>
      </c>
      <c r="AK725" s="337">
        <v>21</v>
      </c>
    </row>
    <row r="726" spans="1:37" x14ac:dyDescent="0.3">
      <c r="A726" s="511"/>
      <c r="B726" s="91"/>
      <c r="C726" s="337"/>
      <c r="D726" s="339"/>
      <c r="E726" s="337"/>
      <c r="F726" s="286"/>
      <c r="G726" s="337"/>
      <c r="H726" s="337"/>
      <c r="I726" s="339"/>
      <c r="J726" s="337"/>
      <c r="K726" s="93"/>
      <c r="L726" s="337"/>
      <c r="M726" s="337"/>
      <c r="N726" s="339"/>
      <c r="O726" s="337"/>
      <c r="P726" s="93"/>
      <c r="Q726" s="337" t="s">
        <v>209</v>
      </c>
      <c r="R726" s="337" t="s">
        <v>570</v>
      </c>
      <c r="S726" s="339">
        <v>5890</v>
      </c>
      <c r="T726" s="337">
        <v>2</v>
      </c>
      <c r="U726" s="93"/>
      <c r="X726" s="302"/>
      <c r="Z726" s="93"/>
      <c r="AA726" s="93"/>
      <c r="AC726" s="337" t="s">
        <v>344</v>
      </c>
      <c r="AD726" s="337" t="s">
        <v>205</v>
      </c>
      <c r="AE726" s="337">
        <v>13.5</v>
      </c>
      <c r="AF726" s="337">
        <v>3</v>
      </c>
      <c r="AH726" s="337" t="s">
        <v>927</v>
      </c>
      <c r="AI726" s="337" t="s">
        <v>928</v>
      </c>
      <c r="AJ726" s="337">
        <v>101.5</v>
      </c>
      <c r="AK726" s="337">
        <v>52</v>
      </c>
    </row>
    <row r="727" spans="1:37" x14ac:dyDescent="0.3">
      <c r="A727" s="511"/>
      <c r="B727" s="91"/>
      <c r="C727" s="337"/>
      <c r="D727" s="339"/>
      <c r="E727" s="337"/>
      <c r="F727" s="286"/>
      <c r="G727" s="337"/>
      <c r="H727" s="337"/>
      <c r="I727" s="339"/>
      <c r="J727" s="337"/>
      <c r="K727" s="93"/>
      <c r="L727" s="337"/>
      <c r="M727" s="337"/>
      <c r="N727" s="339">
        <v>410.9</v>
      </c>
      <c r="O727" s="337"/>
      <c r="P727" s="93"/>
      <c r="Q727" s="337" t="s">
        <v>642</v>
      </c>
      <c r="R727" s="337" t="s">
        <v>643</v>
      </c>
      <c r="S727" s="339">
        <v>1174</v>
      </c>
      <c r="T727" s="337">
        <v>1</v>
      </c>
      <c r="U727" s="93"/>
      <c r="X727" s="302"/>
      <c r="Z727" s="93"/>
      <c r="AA727" s="93"/>
      <c r="AC727" s="337" t="s">
        <v>717</v>
      </c>
      <c r="AD727" s="337" t="s">
        <v>205</v>
      </c>
      <c r="AE727" s="337">
        <v>391</v>
      </c>
      <c r="AF727" s="337">
        <v>79</v>
      </c>
      <c r="AH727" s="337" t="s">
        <v>929</v>
      </c>
      <c r="AI727" s="337" t="s">
        <v>928</v>
      </c>
      <c r="AJ727" s="337">
        <v>0</v>
      </c>
      <c r="AK727" s="337">
        <v>36</v>
      </c>
    </row>
    <row r="728" spans="1:37" x14ac:dyDescent="0.3">
      <c r="A728" s="511"/>
      <c r="F728" s="286"/>
      <c r="G728" s="93"/>
      <c r="H728" s="93"/>
      <c r="I728" s="93"/>
      <c r="J728" s="93"/>
      <c r="K728" s="93"/>
      <c r="L728" s="337"/>
      <c r="M728" s="337"/>
      <c r="N728" s="338"/>
      <c r="O728" s="337"/>
      <c r="P728" s="93"/>
      <c r="Q728" s="337" t="s">
        <v>1069</v>
      </c>
      <c r="R728" s="337" t="s">
        <v>996</v>
      </c>
      <c r="S728" s="339">
        <v>1712</v>
      </c>
      <c r="T728" s="337">
        <v>2</v>
      </c>
      <c r="U728" s="93"/>
      <c r="X728" s="302"/>
      <c r="Z728" s="93"/>
      <c r="AA728" s="93"/>
      <c r="AC728" s="337" t="s">
        <v>683</v>
      </c>
      <c r="AD728" s="337" t="s">
        <v>205</v>
      </c>
      <c r="AE728" s="337">
        <v>415</v>
      </c>
      <c r="AF728" s="337">
        <v>22</v>
      </c>
      <c r="AH728" s="337" t="s">
        <v>773</v>
      </c>
      <c r="AI728" s="337" t="s">
        <v>311</v>
      </c>
      <c r="AJ728" s="337">
        <v>10.8</v>
      </c>
      <c r="AK728" s="337">
        <v>90</v>
      </c>
    </row>
    <row r="729" spans="1:37" x14ac:dyDescent="0.3">
      <c r="A729" s="511"/>
      <c r="B729" s="93"/>
      <c r="C729" s="93"/>
      <c r="F729" s="286"/>
      <c r="G729" s="93"/>
      <c r="H729" s="93"/>
      <c r="I729" s="93"/>
      <c r="J729" s="93"/>
      <c r="K729" s="93"/>
      <c r="L729" s="337"/>
      <c r="M729" s="337"/>
      <c r="N729" s="338"/>
      <c r="O729" s="337"/>
      <c r="P729" s="93"/>
      <c r="Q729" s="337"/>
      <c r="R729" s="337"/>
      <c r="S729" s="339"/>
      <c r="T729" s="337"/>
      <c r="U729" s="93"/>
      <c r="X729" s="302"/>
      <c r="Z729" s="93"/>
      <c r="AA729" s="93"/>
      <c r="AC729" s="337" t="s">
        <v>305</v>
      </c>
      <c r="AD729" s="337" t="s">
        <v>205</v>
      </c>
      <c r="AE729" s="337">
        <v>0</v>
      </c>
      <c r="AF729" s="337">
        <v>66</v>
      </c>
      <c r="AH729" s="337" t="s">
        <v>1078</v>
      </c>
      <c r="AI729" s="337" t="s">
        <v>311</v>
      </c>
      <c r="AJ729" s="337">
        <v>28</v>
      </c>
      <c r="AK729" s="337">
        <v>3</v>
      </c>
    </row>
    <row r="730" spans="1:37" x14ac:dyDescent="0.3">
      <c r="A730" s="511"/>
      <c r="B730" s="93"/>
      <c r="C730" s="93"/>
      <c r="D730" s="208"/>
      <c r="E730" s="93"/>
      <c r="F730" s="286"/>
      <c r="G730" s="93"/>
      <c r="H730" s="93"/>
      <c r="I730" s="93"/>
      <c r="J730" s="93"/>
      <c r="K730" s="93"/>
      <c r="L730" s="337"/>
      <c r="M730" s="337"/>
      <c r="N730" s="338"/>
      <c r="O730" s="337"/>
      <c r="P730" s="93"/>
      <c r="Q730" s="337"/>
      <c r="R730" s="337"/>
      <c r="S730" s="339"/>
      <c r="T730" s="337"/>
      <c r="U730" s="93"/>
      <c r="X730" s="302"/>
      <c r="Z730" s="93"/>
      <c r="AA730" s="93"/>
      <c r="AC730" s="337" t="s">
        <v>401</v>
      </c>
      <c r="AD730" s="337" t="s">
        <v>205</v>
      </c>
      <c r="AE730" s="337">
        <v>0</v>
      </c>
      <c r="AF730" s="337">
        <v>49</v>
      </c>
      <c r="AH730" s="337" t="s">
        <v>525</v>
      </c>
      <c r="AI730" s="337" t="s">
        <v>313</v>
      </c>
      <c r="AJ730" s="337">
        <v>56</v>
      </c>
      <c r="AK730" s="337">
        <v>16</v>
      </c>
    </row>
    <row r="731" spans="1:37" x14ac:dyDescent="0.3">
      <c r="A731" s="511"/>
      <c r="B731" s="93"/>
      <c r="C731" s="93"/>
      <c r="D731" s="208"/>
      <c r="E731" s="93"/>
      <c r="F731" s="286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337"/>
      <c r="R731" s="337"/>
      <c r="S731" s="339"/>
      <c r="T731" s="337"/>
      <c r="U731" s="93"/>
      <c r="X731" s="302"/>
      <c r="Z731" s="93"/>
      <c r="AA731" s="93"/>
      <c r="AC731" s="337" t="s">
        <v>400</v>
      </c>
      <c r="AD731" s="337" t="s">
        <v>205</v>
      </c>
      <c r="AE731" s="337">
        <v>0</v>
      </c>
      <c r="AF731" s="337">
        <v>49</v>
      </c>
      <c r="AH731" s="337" t="s">
        <v>1079</v>
      </c>
      <c r="AI731" s="337" t="s">
        <v>313</v>
      </c>
      <c r="AJ731" s="337">
        <v>42</v>
      </c>
      <c r="AK731" s="337">
        <v>12</v>
      </c>
    </row>
    <row r="732" spans="1:37" x14ac:dyDescent="0.3">
      <c r="A732" s="511"/>
      <c r="B732" s="91"/>
      <c r="C732" s="337"/>
      <c r="D732" s="337"/>
      <c r="E732" s="337"/>
      <c r="F732" s="286"/>
      <c r="G732" s="93"/>
      <c r="H732" s="93"/>
      <c r="I732" s="93"/>
      <c r="J732" s="93"/>
      <c r="K732" s="93"/>
      <c r="P732" s="93"/>
      <c r="Q732" s="383"/>
      <c r="R732" s="383"/>
      <c r="S732" s="384"/>
      <c r="T732" s="383"/>
      <c r="U732" s="93"/>
      <c r="X732" s="302"/>
      <c r="Z732" s="93"/>
      <c r="AA732" s="93"/>
      <c r="AC732" s="337" t="s">
        <v>214</v>
      </c>
      <c r="AD732" s="337" t="s">
        <v>205</v>
      </c>
      <c r="AE732" s="337">
        <v>400</v>
      </c>
      <c r="AF732" s="337">
        <v>16</v>
      </c>
      <c r="AH732" s="337" t="s">
        <v>312</v>
      </c>
      <c r="AI732" s="337" t="s">
        <v>313</v>
      </c>
      <c r="AJ732" s="337">
        <v>26.4</v>
      </c>
      <c r="AK732" s="337">
        <v>8</v>
      </c>
    </row>
    <row r="733" spans="1:37" x14ac:dyDescent="0.3">
      <c r="A733" s="511"/>
      <c r="B733" s="91"/>
      <c r="C733" s="337"/>
      <c r="D733" s="337"/>
      <c r="E733" s="337"/>
      <c r="F733" s="286"/>
      <c r="G733" s="93"/>
      <c r="H733" s="93"/>
      <c r="I733" s="93"/>
      <c r="J733" s="93"/>
      <c r="K733" s="93"/>
      <c r="P733" s="93"/>
      <c r="Q733" s="337"/>
      <c r="R733" s="337"/>
      <c r="S733" s="338"/>
      <c r="T733" s="337"/>
      <c r="U733" s="93"/>
      <c r="X733" s="302"/>
      <c r="Z733" s="93"/>
      <c r="AA733" s="93"/>
      <c r="AC733" s="337" t="s">
        <v>211</v>
      </c>
      <c r="AD733" s="337" t="s">
        <v>205</v>
      </c>
      <c r="AE733" s="337">
        <v>204</v>
      </c>
      <c r="AF733" s="337">
        <v>32</v>
      </c>
      <c r="AH733" s="337" t="s">
        <v>782</v>
      </c>
      <c r="AI733" s="337" t="s">
        <v>313</v>
      </c>
      <c r="AJ733" s="337">
        <v>14</v>
      </c>
      <c r="AK733" s="337">
        <v>8</v>
      </c>
    </row>
    <row r="734" spans="1:37" x14ac:dyDescent="0.3">
      <c r="A734" s="511"/>
      <c r="B734" s="91"/>
      <c r="C734" s="337"/>
      <c r="D734" s="339"/>
      <c r="E734" s="337"/>
      <c r="F734" s="286"/>
      <c r="G734" s="93"/>
      <c r="H734" s="93"/>
      <c r="I734" s="93"/>
      <c r="J734" s="93"/>
      <c r="K734" s="93"/>
      <c r="P734" s="93"/>
      <c r="Q734" s="337"/>
      <c r="R734" s="337"/>
      <c r="S734" s="338"/>
      <c r="T734" s="337"/>
      <c r="U734" s="93"/>
      <c r="X734" s="302"/>
      <c r="Z734" s="93"/>
      <c r="AA734" s="93"/>
      <c r="AC734" s="337" t="s">
        <v>316</v>
      </c>
      <c r="AD734" s="337" t="s">
        <v>205</v>
      </c>
      <c r="AE734" s="337">
        <v>170</v>
      </c>
      <c r="AF734" s="337">
        <v>44</v>
      </c>
      <c r="AH734" s="337" t="s">
        <v>314</v>
      </c>
      <c r="AI734" s="337" t="s">
        <v>313</v>
      </c>
      <c r="AJ734" s="337">
        <v>40</v>
      </c>
      <c r="AK734" s="337">
        <v>28</v>
      </c>
    </row>
    <row r="735" spans="1:37" x14ac:dyDescent="0.3">
      <c r="A735" s="511"/>
      <c r="B735" s="93"/>
      <c r="C735" s="93"/>
      <c r="D735" s="208"/>
      <c r="E735" s="93"/>
      <c r="F735" s="286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337"/>
      <c r="R735" s="337"/>
      <c r="S735" s="338"/>
      <c r="T735" s="337"/>
      <c r="U735" s="93"/>
      <c r="Z735" s="93"/>
      <c r="AA735" s="93"/>
      <c r="AC735" s="337" t="s">
        <v>389</v>
      </c>
      <c r="AD735" s="337" t="s">
        <v>205</v>
      </c>
      <c r="AE735" s="337">
        <v>35.200000000000003</v>
      </c>
      <c r="AF735" s="337">
        <v>12</v>
      </c>
      <c r="AH735" s="337" t="s">
        <v>371</v>
      </c>
      <c r="AI735" s="337" t="s">
        <v>313</v>
      </c>
      <c r="AJ735" s="337">
        <v>59.2</v>
      </c>
      <c r="AK735" s="337">
        <v>64</v>
      </c>
    </row>
    <row r="736" spans="1:37" x14ac:dyDescent="0.3">
      <c r="A736" s="511"/>
      <c r="B736" s="93"/>
      <c r="C736" s="93"/>
      <c r="D736" s="93"/>
      <c r="E736" s="93"/>
      <c r="F736" s="286"/>
      <c r="G736" s="93"/>
      <c r="H736" s="93"/>
      <c r="I736" s="93"/>
      <c r="J736" s="93"/>
      <c r="K736" s="93"/>
      <c r="L736" s="93"/>
      <c r="M736" s="333"/>
      <c r="N736" s="334"/>
      <c r="O736" s="93"/>
      <c r="P736" s="93"/>
      <c r="Q736" s="93"/>
      <c r="R736" s="93"/>
      <c r="S736" s="93"/>
      <c r="T736" s="93"/>
      <c r="U736" s="93"/>
      <c r="Z736" s="93"/>
      <c r="AA736" s="93"/>
      <c r="AC736" s="337" t="s">
        <v>366</v>
      </c>
      <c r="AD736" s="337" t="s">
        <v>205</v>
      </c>
      <c r="AE736" s="337">
        <v>261.87</v>
      </c>
      <c r="AF736" s="337">
        <v>41</v>
      </c>
      <c r="AH736" s="337" t="s">
        <v>786</v>
      </c>
      <c r="AI736" s="337" t="s">
        <v>313</v>
      </c>
      <c r="AJ736" s="337">
        <v>26.4</v>
      </c>
      <c r="AK736" s="337">
        <v>8</v>
      </c>
    </row>
    <row r="737" spans="1:37" x14ac:dyDescent="0.3">
      <c r="A737" s="511"/>
      <c r="B737" s="93"/>
      <c r="C737" s="93"/>
      <c r="F737" s="286"/>
      <c r="G737" s="93"/>
      <c r="H737" s="93"/>
      <c r="I737" s="93"/>
      <c r="J737" s="93"/>
      <c r="K737" s="93"/>
      <c r="L737" s="93"/>
      <c r="M737" s="333"/>
      <c r="N737" s="334"/>
      <c r="O737" s="93"/>
      <c r="P737" s="93"/>
      <c r="Q737" s="93"/>
      <c r="R737" s="93"/>
      <c r="S737" s="93"/>
      <c r="T737" s="93"/>
      <c r="U737" s="93"/>
      <c r="Z737" s="93"/>
      <c r="AA737" s="93"/>
      <c r="AC737" s="337" t="s">
        <v>1072</v>
      </c>
      <c r="AD737" s="337" t="s">
        <v>205</v>
      </c>
      <c r="AE737" s="339">
        <v>80</v>
      </c>
      <c r="AF737" s="337">
        <v>16</v>
      </c>
      <c r="AH737" s="337" t="s">
        <v>787</v>
      </c>
      <c r="AI737" s="337" t="s">
        <v>313</v>
      </c>
      <c r="AJ737" s="337">
        <v>59.1</v>
      </c>
      <c r="AK737" s="337">
        <v>12</v>
      </c>
    </row>
    <row r="738" spans="1:37" x14ac:dyDescent="0.3">
      <c r="A738" s="511"/>
      <c r="B738" s="93"/>
      <c r="C738" s="93"/>
      <c r="F738" s="286"/>
      <c r="G738" s="93"/>
      <c r="H738" s="93"/>
      <c r="I738" s="93"/>
      <c r="J738" s="93"/>
      <c r="K738" s="93"/>
      <c r="L738" s="93"/>
      <c r="M738" s="333"/>
      <c r="N738" s="334"/>
      <c r="O738" s="93"/>
      <c r="P738" s="93"/>
      <c r="Q738" s="93"/>
      <c r="R738" s="93"/>
      <c r="S738" s="93"/>
      <c r="T738" s="93"/>
      <c r="U738" s="93"/>
      <c r="Z738" s="93"/>
      <c r="AA738" s="93"/>
      <c r="AC738" s="337" t="s">
        <v>1030</v>
      </c>
      <c r="AD738" s="337" t="s">
        <v>205</v>
      </c>
      <c r="AE738" s="337">
        <v>0</v>
      </c>
      <c r="AF738" s="337">
        <v>28</v>
      </c>
      <c r="AH738" s="337" t="s">
        <v>504</v>
      </c>
      <c r="AI738" s="337" t="s">
        <v>315</v>
      </c>
      <c r="AJ738" s="337">
        <v>88</v>
      </c>
      <c r="AK738" s="337">
        <v>36</v>
      </c>
    </row>
    <row r="739" spans="1:37" x14ac:dyDescent="0.3">
      <c r="A739" s="511"/>
      <c r="B739" s="93"/>
      <c r="C739" s="93"/>
      <c r="F739" s="286"/>
      <c r="G739" s="93"/>
      <c r="H739" s="93"/>
      <c r="I739" s="93"/>
      <c r="J739" s="93"/>
      <c r="K739" s="93"/>
      <c r="L739" s="93"/>
      <c r="M739" s="333"/>
      <c r="N739" s="334"/>
      <c r="O739" s="93"/>
      <c r="P739" s="93"/>
      <c r="Q739" s="93"/>
      <c r="R739" s="93"/>
      <c r="S739" s="93"/>
      <c r="T739" s="93"/>
      <c r="U739" s="93"/>
      <c r="Z739" s="93"/>
      <c r="AA739" s="93"/>
      <c r="AC739" s="337" t="s">
        <v>1073</v>
      </c>
      <c r="AD739" s="337" t="s">
        <v>205</v>
      </c>
      <c r="AE739" s="337">
        <v>0</v>
      </c>
      <c r="AF739" s="337">
        <v>28</v>
      </c>
      <c r="AH739" s="337" t="s">
        <v>410</v>
      </c>
      <c r="AI739" s="337" t="s">
        <v>411</v>
      </c>
      <c r="AJ739" s="337">
        <v>0</v>
      </c>
      <c r="AK739" s="337">
        <v>12</v>
      </c>
    </row>
    <row r="740" spans="1:37" x14ac:dyDescent="0.3">
      <c r="A740" s="511"/>
      <c r="B740" s="93"/>
      <c r="C740" s="93"/>
      <c r="D740" s="94"/>
      <c r="F740" s="286"/>
      <c r="G740" s="93"/>
      <c r="H740" s="93"/>
      <c r="I740" s="93"/>
      <c r="J740" s="93"/>
      <c r="K740" s="93"/>
      <c r="L740" s="93"/>
      <c r="M740" s="333"/>
      <c r="N740" s="334"/>
      <c r="O740" s="93"/>
      <c r="P740" s="93"/>
      <c r="Q740" s="93"/>
      <c r="R740" s="93"/>
      <c r="S740" s="93"/>
      <c r="T740" s="93"/>
      <c r="U740" s="93"/>
      <c r="Z740" s="93"/>
      <c r="AA740" s="93"/>
      <c r="AC740" s="337" t="s">
        <v>178</v>
      </c>
      <c r="AD740" s="337" t="s">
        <v>205</v>
      </c>
      <c r="AE740" s="337">
        <v>68.400000000000006</v>
      </c>
      <c r="AF740" s="337">
        <v>24</v>
      </c>
      <c r="AH740" s="337" t="s">
        <v>507</v>
      </c>
      <c r="AI740" s="337" t="s">
        <v>453</v>
      </c>
      <c r="AJ740" s="337">
        <v>648</v>
      </c>
      <c r="AK740" s="337">
        <v>97</v>
      </c>
    </row>
    <row r="741" spans="1:37" x14ac:dyDescent="0.3">
      <c r="A741" s="511"/>
      <c r="B741" s="93"/>
      <c r="C741" s="93"/>
      <c r="F741" s="286"/>
      <c r="G741" s="93"/>
      <c r="H741" s="93"/>
      <c r="I741" s="93"/>
      <c r="J741" s="93"/>
      <c r="K741" s="93"/>
      <c r="L741" s="93"/>
      <c r="M741" s="333"/>
      <c r="N741" s="334"/>
      <c r="O741" s="93"/>
      <c r="P741" s="93"/>
      <c r="Q741" s="93"/>
      <c r="R741" s="93"/>
      <c r="S741" s="93"/>
      <c r="T741" s="93"/>
      <c r="U741" s="93"/>
      <c r="Z741" s="93"/>
      <c r="AA741" s="93"/>
      <c r="AC741" s="337" t="s">
        <v>700</v>
      </c>
      <c r="AD741" s="337" t="s">
        <v>205</v>
      </c>
      <c r="AE741" s="337">
        <v>27.6</v>
      </c>
      <c r="AF741" s="337">
        <v>12</v>
      </c>
      <c r="AH741" s="337" t="s">
        <v>890</v>
      </c>
      <c r="AI741" s="337" t="s">
        <v>889</v>
      </c>
      <c r="AJ741" s="337">
        <v>10</v>
      </c>
      <c r="AK741" s="337">
        <v>4</v>
      </c>
    </row>
    <row r="742" spans="1:37" x14ac:dyDescent="0.3">
      <c r="A742" s="511"/>
      <c r="B742" s="93"/>
      <c r="C742" s="93"/>
      <c r="D742" s="93"/>
      <c r="E742" s="93"/>
      <c r="F742" s="286"/>
      <c r="G742" s="93"/>
      <c r="H742" s="93"/>
      <c r="I742" s="93"/>
      <c r="J742" s="93"/>
      <c r="K742" s="93"/>
      <c r="L742" s="93"/>
      <c r="M742" s="333"/>
      <c r="N742" s="334"/>
      <c r="O742" s="93"/>
      <c r="P742" s="93"/>
      <c r="Q742" s="93"/>
      <c r="R742" s="93"/>
      <c r="S742" s="93"/>
      <c r="T742" s="93"/>
      <c r="U742" s="93"/>
      <c r="Z742" s="93"/>
      <c r="AA742" s="93"/>
      <c r="AC742" s="337" t="s">
        <v>501</v>
      </c>
      <c r="AD742" s="337" t="s">
        <v>205</v>
      </c>
      <c r="AE742" s="337">
        <v>168</v>
      </c>
      <c r="AF742" s="337">
        <v>21</v>
      </c>
      <c r="AH742" s="337" t="s">
        <v>1007</v>
      </c>
      <c r="AI742" s="337" t="s">
        <v>1008</v>
      </c>
      <c r="AJ742" s="337">
        <v>19.5</v>
      </c>
      <c r="AK742" s="337">
        <v>1</v>
      </c>
    </row>
    <row r="743" spans="1:37" x14ac:dyDescent="0.3">
      <c r="A743" s="511"/>
      <c r="B743" s="93"/>
      <c r="C743" s="93"/>
      <c r="D743" s="93"/>
      <c r="E743" s="93"/>
      <c r="F743" s="286"/>
      <c r="G743" s="93"/>
      <c r="H743" s="93"/>
      <c r="I743" s="93"/>
      <c r="J743" s="93"/>
      <c r="K743" s="93"/>
      <c r="L743" s="93"/>
      <c r="M743" s="333"/>
      <c r="N743" s="334"/>
      <c r="O743" s="93"/>
      <c r="P743" s="93"/>
      <c r="Q743" s="93"/>
      <c r="R743" s="93"/>
      <c r="S743" s="93"/>
      <c r="T743" s="93"/>
      <c r="U743" s="93"/>
      <c r="Z743" s="93"/>
      <c r="AA743" s="93"/>
      <c r="AC743" s="337" t="s">
        <v>930</v>
      </c>
      <c r="AD743" s="337" t="s">
        <v>205</v>
      </c>
      <c r="AE743" s="337">
        <v>4</v>
      </c>
      <c r="AF743" s="337">
        <v>1</v>
      </c>
      <c r="AH743" s="337"/>
      <c r="AI743" s="337"/>
      <c r="AJ743" s="337"/>
      <c r="AK743" s="337"/>
    </row>
    <row r="744" spans="1:37" x14ac:dyDescent="0.3">
      <c r="A744" s="511"/>
      <c r="B744" s="93"/>
      <c r="C744" s="93"/>
      <c r="D744" s="93"/>
      <c r="E744" s="93"/>
      <c r="F744" s="286"/>
      <c r="G744" s="93"/>
      <c r="H744" s="93"/>
      <c r="I744" s="93"/>
      <c r="J744" s="93"/>
      <c r="K744" s="93"/>
      <c r="L744" s="93"/>
      <c r="M744" s="333"/>
      <c r="N744" s="334"/>
      <c r="O744" s="93"/>
      <c r="P744" s="93"/>
      <c r="Q744" s="93"/>
      <c r="R744" s="93"/>
      <c r="S744" s="93"/>
      <c r="T744" s="93"/>
      <c r="U744" s="93"/>
      <c r="Z744" s="93"/>
      <c r="AA744" s="93"/>
      <c r="AC744" s="337" t="s">
        <v>183</v>
      </c>
      <c r="AD744" s="337" t="s">
        <v>606</v>
      </c>
      <c r="AE744" s="337">
        <v>64</v>
      </c>
      <c r="AF744" s="337">
        <v>8</v>
      </c>
      <c r="AH744" s="337"/>
      <c r="AI744" s="337"/>
      <c r="AJ744" s="337"/>
      <c r="AK744" s="337"/>
    </row>
    <row r="745" spans="1:37" x14ac:dyDescent="0.3">
      <c r="A745" s="511"/>
      <c r="B745" s="93"/>
      <c r="C745" s="93"/>
      <c r="D745" s="93"/>
      <c r="E745" s="93"/>
      <c r="F745" s="286"/>
      <c r="G745" s="93"/>
      <c r="H745" s="93"/>
      <c r="I745" s="93"/>
      <c r="J745" s="93"/>
      <c r="K745" s="93"/>
      <c r="L745" s="93"/>
      <c r="M745" s="333"/>
      <c r="N745" s="334"/>
      <c r="O745" s="93"/>
      <c r="P745" s="93"/>
      <c r="Q745" s="93"/>
      <c r="R745" s="93"/>
      <c r="S745" s="93"/>
      <c r="T745" s="93"/>
      <c r="U745" s="93"/>
      <c r="Z745" s="93"/>
      <c r="AA745" s="93"/>
      <c r="AC745" s="337" t="s">
        <v>213</v>
      </c>
      <c r="AD745" s="337" t="s">
        <v>212</v>
      </c>
      <c r="AE745" s="337">
        <v>198</v>
      </c>
      <c r="AF745" s="337">
        <v>36</v>
      </c>
      <c r="AH745" s="337"/>
      <c r="AI745" s="337"/>
      <c r="AJ745" s="337"/>
      <c r="AK745" s="337"/>
    </row>
    <row r="746" spans="1:37" x14ac:dyDescent="0.3">
      <c r="A746" s="511"/>
      <c r="B746" s="93"/>
      <c r="C746" s="93"/>
      <c r="D746" s="93"/>
      <c r="E746" s="93"/>
      <c r="F746" s="286"/>
      <c r="G746" s="93"/>
      <c r="H746" s="93"/>
      <c r="I746" s="93"/>
      <c r="J746" s="93"/>
      <c r="K746" s="93"/>
      <c r="L746" s="93"/>
      <c r="O746" s="93"/>
      <c r="P746" s="93"/>
      <c r="Q746" s="93"/>
      <c r="R746" s="93"/>
      <c r="S746" s="93"/>
      <c r="T746" s="93"/>
      <c r="U746" s="93"/>
      <c r="Z746" s="93"/>
      <c r="AA746" s="93"/>
      <c r="AC746" s="337" t="s">
        <v>1074</v>
      </c>
      <c r="AD746" s="337" t="s">
        <v>212</v>
      </c>
      <c r="AE746" s="337">
        <v>112</v>
      </c>
      <c r="AF746" s="337">
        <v>8</v>
      </c>
      <c r="AH746" s="337"/>
      <c r="AI746" s="337"/>
      <c r="AJ746" s="337"/>
      <c r="AK746" s="337"/>
    </row>
    <row r="747" spans="1:37" x14ac:dyDescent="0.3">
      <c r="A747" s="511"/>
      <c r="B747" s="93"/>
      <c r="C747" s="93"/>
      <c r="D747" s="252"/>
      <c r="E747" s="93"/>
      <c r="F747" s="286"/>
      <c r="G747" s="93"/>
      <c r="H747" s="93"/>
      <c r="I747" s="93"/>
      <c r="J747" s="93"/>
      <c r="K747" s="93"/>
      <c r="L747" s="93"/>
      <c r="O747" s="93"/>
      <c r="P747" s="93"/>
      <c r="Q747" s="93"/>
      <c r="R747" s="93"/>
      <c r="S747" s="93"/>
      <c r="T747" s="93"/>
      <c r="U747" s="93"/>
      <c r="Z747" s="93"/>
      <c r="AA747" s="93"/>
      <c r="AC747" s="337" t="s">
        <v>852</v>
      </c>
      <c r="AD747" s="337" t="s">
        <v>726</v>
      </c>
      <c r="AE747" s="337">
        <v>611.75</v>
      </c>
      <c r="AF747" s="337">
        <v>15</v>
      </c>
      <c r="AH747" s="337"/>
      <c r="AI747" s="337"/>
      <c r="AJ747" s="337"/>
      <c r="AK747" s="337"/>
    </row>
    <row r="748" spans="1:37" x14ac:dyDescent="0.3">
      <c r="A748" s="511"/>
      <c r="B748" s="93"/>
      <c r="C748" s="93"/>
      <c r="D748" s="252"/>
      <c r="E748" s="93"/>
      <c r="F748" s="286"/>
      <c r="G748" s="93"/>
      <c r="H748" s="93"/>
      <c r="I748" s="93"/>
      <c r="J748" s="93"/>
      <c r="K748" s="93"/>
      <c r="L748" s="93"/>
      <c r="O748" s="93"/>
      <c r="P748" s="93"/>
      <c r="Q748" s="93"/>
      <c r="R748" s="93"/>
      <c r="S748" s="93"/>
      <c r="T748" s="93"/>
      <c r="U748" s="93"/>
      <c r="Z748" s="93"/>
      <c r="AA748" s="93"/>
      <c r="AC748" s="337" t="s">
        <v>725</v>
      </c>
      <c r="AD748" s="337" t="s">
        <v>726</v>
      </c>
      <c r="AE748" s="337">
        <v>168</v>
      </c>
      <c r="AF748" s="337">
        <v>10</v>
      </c>
      <c r="AH748" s="337"/>
      <c r="AI748" s="337"/>
      <c r="AJ748" s="337"/>
      <c r="AK748" s="337"/>
    </row>
    <row r="749" spans="1:37" x14ac:dyDescent="0.3">
      <c r="A749" s="511"/>
      <c r="B749" s="93"/>
      <c r="C749" s="93"/>
      <c r="D749" s="252"/>
      <c r="E749" s="93"/>
      <c r="F749" s="286"/>
      <c r="G749" s="93"/>
      <c r="H749" s="93"/>
      <c r="I749" s="93"/>
      <c r="J749" s="93"/>
      <c r="K749" s="93"/>
      <c r="L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C749" s="337" t="s">
        <v>1033</v>
      </c>
      <c r="AD749" s="337" t="s">
        <v>726</v>
      </c>
      <c r="AE749" s="337">
        <v>225</v>
      </c>
      <c r="AF749" s="337">
        <v>5</v>
      </c>
      <c r="AH749" s="337"/>
      <c r="AI749" s="337"/>
      <c r="AJ749" s="337"/>
      <c r="AK749" s="337"/>
    </row>
    <row r="750" spans="1:37" x14ac:dyDescent="0.3">
      <c r="A750" s="511"/>
      <c r="B750" s="93"/>
      <c r="C750" s="93"/>
      <c r="D750" s="252"/>
      <c r="E750" s="93"/>
      <c r="F750" s="286"/>
      <c r="G750" s="252"/>
      <c r="H750" s="93"/>
      <c r="I750" s="93"/>
      <c r="J750" s="93"/>
      <c r="K750" s="93"/>
      <c r="L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C750" s="337" t="s">
        <v>936</v>
      </c>
      <c r="AD750" s="337" t="s">
        <v>937</v>
      </c>
      <c r="AE750" s="337">
        <v>930</v>
      </c>
      <c r="AF750" s="337">
        <v>2</v>
      </c>
      <c r="AH750" s="337"/>
      <c r="AI750" s="337"/>
      <c r="AJ750" s="337"/>
      <c r="AK750" s="337"/>
    </row>
    <row r="751" spans="1:37" x14ac:dyDescent="0.3">
      <c r="A751" s="511"/>
      <c r="B751" s="93"/>
      <c r="C751" s="93"/>
      <c r="D751" s="252"/>
      <c r="E751" s="93"/>
      <c r="F751" s="286"/>
      <c r="G751" s="252"/>
      <c r="H751" s="93"/>
      <c r="I751" s="93"/>
      <c r="J751" s="93"/>
      <c r="K751" s="93"/>
      <c r="L751" s="93"/>
      <c r="O751" s="93"/>
      <c r="P751" s="93"/>
      <c r="Q751" s="385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C751" s="337" t="s">
        <v>1075</v>
      </c>
      <c r="AD751" s="337" t="s">
        <v>937</v>
      </c>
      <c r="AE751" s="337">
        <v>490</v>
      </c>
      <c r="AF751" s="337">
        <v>1</v>
      </c>
      <c r="AH751" s="337"/>
      <c r="AI751" s="337"/>
      <c r="AJ751" s="337"/>
      <c r="AK751" s="337"/>
    </row>
    <row r="752" spans="1:37" ht="17.399999999999999" x14ac:dyDescent="0.35">
      <c r="A752" s="511"/>
      <c r="B752" s="164"/>
      <c r="C752" s="164"/>
      <c r="D752" s="165"/>
      <c r="E752" s="164"/>
      <c r="F752" s="287"/>
      <c r="G752" s="164"/>
      <c r="H752" s="164"/>
      <c r="I752" s="164"/>
      <c r="J752" s="164"/>
      <c r="K752" s="164"/>
      <c r="L752" s="93"/>
      <c r="M752" s="93"/>
      <c r="N752" s="93"/>
      <c r="O752" s="93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  <c r="AA752" s="164"/>
      <c r="AC752" s="337" t="s">
        <v>942</v>
      </c>
      <c r="AD752" s="337" t="s">
        <v>650</v>
      </c>
      <c r="AE752" s="337">
        <v>14.2</v>
      </c>
      <c r="AF752" s="337">
        <v>7</v>
      </c>
      <c r="AH752" s="337"/>
      <c r="AI752" s="337"/>
      <c r="AJ752" s="337"/>
      <c r="AK752" s="337"/>
    </row>
    <row r="753" spans="1:37" ht="17.399999999999999" x14ac:dyDescent="0.35">
      <c r="A753" s="511"/>
      <c r="B753" s="164"/>
      <c r="C753" s="164"/>
      <c r="D753" s="165"/>
      <c r="E753" s="164"/>
      <c r="F753" s="287"/>
      <c r="G753" s="164"/>
      <c r="H753" s="164"/>
      <c r="I753" s="164"/>
      <c r="J753" s="164"/>
      <c r="K753" s="164"/>
      <c r="L753" s="93"/>
      <c r="M753" s="93"/>
      <c r="N753" s="93"/>
      <c r="O753" s="93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  <c r="AA753" s="164"/>
      <c r="AC753" s="337" t="s">
        <v>1076</v>
      </c>
      <c r="AD753" s="337" t="s">
        <v>1077</v>
      </c>
      <c r="AE753" s="337">
        <v>24</v>
      </c>
      <c r="AF753" s="337">
        <v>2</v>
      </c>
      <c r="AH753" s="337"/>
      <c r="AI753" s="337"/>
      <c r="AJ753" s="337"/>
      <c r="AK753" s="337"/>
    </row>
    <row r="754" spans="1:37" ht="17.399999999999999" x14ac:dyDescent="0.35">
      <c r="A754" s="511"/>
      <c r="B754" s="164"/>
      <c r="C754" s="164"/>
      <c r="D754" s="165"/>
      <c r="E754" s="164"/>
      <c r="F754" s="287"/>
      <c r="G754" s="164"/>
      <c r="H754" s="164"/>
      <c r="I754" s="164"/>
      <c r="J754" s="164"/>
      <c r="K754" s="164"/>
      <c r="L754" s="93"/>
      <c r="M754" s="93"/>
      <c r="N754" s="93"/>
      <c r="O754" s="93"/>
      <c r="P754" s="164"/>
      <c r="Q754" s="164"/>
      <c r="R754" s="164"/>
      <c r="S754" s="164"/>
      <c r="T754" s="164"/>
      <c r="U754" s="164"/>
      <c r="V754" s="164"/>
      <c r="W754" s="164"/>
      <c r="X754" s="93"/>
      <c r="Y754" s="164"/>
      <c r="Z754" s="164"/>
      <c r="AA754" s="164"/>
      <c r="AC754" s="337" t="s">
        <v>418</v>
      </c>
      <c r="AD754" s="337" t="s">
        <v>347</v>
      </c>
      <c r="AE754" s="337">
        <v>84</v>
      </c>
      <c r="AF754" s="337">
        <v>12</v>
      </c>
      <c r="AH754" s="337"/>
      <c r="AI754" s="337"/>
      <c r="AJ754" s="337"/>
      <c r="AK754" s="337"/>
    </row>
    <row r="755" spans="1:37" ht="17.399999999999999" x14ac:dyDescent="0.35">
      <c r="A755" s="511"/>
      <c r="B755" s="164"/>
      <c r="C755" s="164"/>
      <c r="D755" s="342">
        <f>SUM(D712:D738)</f>
        <v>258169</v>
      </c>
      <c r="E755" s="164"/>
      <c r="F755" s="287"/>
      <c r="G755" s="164"/>
      <c r="H755" s="164"/>
      <c r="I755" s="342">
        <f>SUM(I712:I733)</f>
        <v>214983</v>
      </c>
      <c r="J755" s="164"/>
      <c r="K755" s="164"/>
      <c r="L755" s="164"/>
      <c r="M755" s="164"/>
      <c r="N755" s="342">
        <f>SUM(N712:N730)</f>
        <v>76717.899999999994</v>
      </c>
      <c r="O755" s="164"/>
      <c r="P755" s="164"/>
      <c r="Q755" s="164"/>
      <c r="R755" s="164"/>
      <c r="S755" s="342">
        <f>SUM(S712:S754)</f>
        <v>133671.28</v>
      </c>
      <c r="T755" s="164"/>
      <c r="U755" s="164"/>
      <c r="V755" s="164"/>
      <c r="W755" s="164"/>
      <c r="X755" s="93"/>
      <c r="Y755" s="164"/>
      <c r="Z755" s="164"/>
      <c r="AA755" s="164"/>
      <c r="AC755" s="337" t="s">
        <v>168</v>
      </c>
      <c r="AD755" s="337" t="s">
        <v>348</v>
      </c>
      <c r="AE755" s="337">
        <v>199.2</v>
      </c>
      <c r="AF755" s="337">
        <v>60</v>
      </c>
      <c r="AH755" s="337"/>
      <c r="AI755" s="337"/>
      <c r="AJ755" s="337"/>
      <c r="AK755" s="337"/>
    </row>
    <row r="756" spans="1:37" ht="17.399999999999999" x14ac:dyDescent="0.35">
      <c r="A756" s="511"/>
      <c r="B756" s="164"/>
      <c r="C756" s="164"/>
      <c r="D756" s="164"/>
      <c r="E756" s="164"/>
      <c r="F756" s="287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93"/>
      <c r="Y756" s="164"/>
      <c r="Z756" s="164"/>
      <c r="AA756" s="164"/>
      <c r="AC756" s="337" t="s">
        <v>392</v>
      </c>
      <c r="AD756" s="337" t="s">
        <v>393</v>
      </c>
      <c r="AE756" s="337">
        <v>0</v>
      </c>
      <c r="AF756" s="337">
        <v>12</v>
      </c>
      <c r="AH756" s="337"/>
      <c r="AI756" s="337"/>
      <c r="AJ756" s="337"/>
      <c r="AK756" s="337"/>
    </row>
    <row r="757" spans="1:37" ht="17.399999999999999" x14ac:dyDescent="0.35">
      <c r="A757" s="511"/>
      <c r="B757" s="164"/>
      <c r="C757" s="164"/>
      <c r="D757" s="164"/>
      <c r="E757" s="164"/>
      <c r="F757" s="287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  <c r="AA757" s="164"/>
      <c r="AC757" s="337" t="s">
        <v>950</v>
      </c>
      <c r="AD757" s="337" t="s">
        <v>456</v>
      </c>
      <c r="AE757" s="337">
        <v>16.899999999999999</v>
      </c>
      <c r="AF757" s="337">
        <v>1</v>
      </c>
      <c r="AH757" s="337"/>
      <c r="AI757" s="337"/>
      <c r="AJ757" s="337"/>
      <c r="AK757" s="337"/>
    </row>
    <row r="758" spans="1:37" ht="17.399999999999999" x14ac:dyDescent="0.35">
      <c r="A758" s="511"/>
      <c r="B758" s="164"/>
      <c r="C758" s="343"/>
      <c r="D758" s="522" t="s">
        <v>219</v>
      </c>
      <c r="E758" s="523"/>
      <c r="F758" s="524" t="s">
        <v>220</v>
      </c>
      <c r="G758" s="524"/>
      <c r="H758" s="524" t="s">
        <v>221</v>
      </c>
      <c r="I758" s="524"/>
      <c r="J758" s="524" t="s">
        <v>222</v>
      </c>
      <c r="K758" s="524"/>
      <c r="L758" s="522" t="s">
        <v>223</v>
      </c>
      <c r="M758" s="523"/>
      <c r="N758" s="524" t="s">
        <v>224</v>
      </c>
      <c r="O758" s="524"/>
      <c r="P758" s="524" t="s">
        <v>225</v>
      </c>
      <c r="Q758" s="524"/>
      <c r="R758" s="524" t="s">
        <v>226</v>
      </c>
      <c r="S758" s="524"/>
      <c r="T758" s="524" t="s">
        <v>227</v>
      </c>
      <c r="U758" s="524"/>
      <c r="V758" s="524" t="s">
        <v>228</v>
      </c>
      <c r="W758" s="524"/>
      <c r="X758" s="524" t="s">
        <v>229</v>
      </c>
      <c r="Y758" s="524"/>
      <c r="Z758" s="524" t="s">
        <v>230</v>
      </c>
      <c r="AA758" s="524"/>
      <c r="AC758" s="337" t="s">
        <v>349</v>
      </c>
      <c r="AD758" s="337" t="s">
        <v>242</v>
      </c>
      <c r="AE758" s="337">
        <v>29.4</v>
      </c>
      <c r="AF758" s="337">
        <v>3</v>
      </c>
      <c r="AH758" s="337"/>
      <c r="AI758" s="337"/>
      <c r="AJ758" s="337"/>
      <c r="AK758" s="337"/>
    </row>
    <row r="759" spans="1:37" ht="17.399999999999999" x14ac:dyDescent="0.35">
      <c r="A759" s="511"/>
      <c r="B759" s="164"/>
      <c r="C759" s="344" t="s">
        <v>233</v>
      </c>
      <c r="D759" s="345">
        <v>124163</v>
      </c>
      <c r="E759" s="345">
        <f>D759/60</f>
        <v>2069.3833333333332</v>
      </c>
      <c r="F759" s="346">
        <v>226382</v>
      </c>
      <c r="G759" s="345">
        <v>3773.0333333333333</v>
      </c>
      <c r="H759" s="347">
        <v>262601</v>
      </c>
      <c r="I759" s="345">
        <f>H759/60</f>
        <v>4376.6833333333334</v>
      </c>
      <c r="J759" s="347">
        <v>221316</v>
      </c>
      <c r="K759" s="345">
        <f>J759/60</f>
        <v>3688.6</v>
      </c>
      <c r="L759" s="348">
        <v>205093</v>
      </c>
      <c r="M759" s="345">
        <f>L759/60</f>
        <v>3418.2166666666667</v>
      </c>
      <c r="N759" s="349">
        <v>224145</v>
      </c>
      <c r="O759" s="345">
        <v>3735.75</v>
      </c>
      <c r="P759" s="349">
        <v>168789</v>
      </c>
      <c r="Q759" s="345">
        <v>2813.15</v>
      </c>
      <c r="R759" s="349">
        <f>I755</f>
        <v>214983</v>
      </c>
      <c r="S759" s="345">
        <f>R759/60</f>
        <v>3583.05</v>
      </c>
      <c r="T759" s="349"/>
      <c r="U759" s="343"/>
      <c r="V759" s="349"/>
      <c r="W759" s="343"/>
      <c r="X759" s="349"/>
      <c r="Y759" s="343"/>
      <c r="Z759" s="349"/>
      <c r="AA759" s="343"/>
      <c r="AC759" s="337" t="s">
        <v>958</v>
      </c>
      <c r="AD759" s="337" t="s">
        <v>242</v>
      </c>
      <c r="AE759" s="337">
        <v>60.36</v>
      </c>
      <c r="AF759" s="337">
        <v>2</v>
      </c>
    </row>
    <row r="760" spans="1:37" ht="17.399999999999999" x14ac:dyDescent="0.35">
      <c r="A760" s="511"/>
      <c r="B760" s="164"/>
      <c r="C760" s="344" t="s">
        <v>234</v>
      </c>
      <c r="D760" s="345">
        <v>172515.20000000001</v>
      </c>
      <c r="E760" s="345">
        <f>D760/60</f>
        <v>2875.2533333333336</v>
      </c>
      <c r="F760" s="346">
        <v>201945.40000000002</v>
      </c>
      <c r="G760" s="345">
        <v>3365.7566666666671</v>
      </c>
      <c r="H760" s="347">
        <v>229855</v>
      </c>
      <c r="I760" s="345">
        <f t="shared" ref="I760:I764" si="147">H760/60</f>
        <v>3830.9166666666665</v>
      </c>
      <c r="J760" s="347">
        <v>286666.40000000002</v>
      </c>
      <c r="K760" s="345">
        <f t="shared" ref="K760:K764" si="148">J760/60</f>
        <v>4777.7733333333335</v>
      </c>
      <c r="L760" s="349">
        <v>287992.19999999995</v>
      </c>
      <c r="M760" s="345">
        <f t="shared" ref="M760:M762" si="149">L760/60</f>
        <v>4799.869999999999</v>
      </c>
      <c r="N760" s="349">
        <v>323495.40000000002</v>
      </c>
      <c r="O760" s="345">
        <v>5391.59</v>
      </c>
      <c r="P760" s="349">
        <v>214520.6</v>
      </c>
      <c r="Q760" s="345">
        <v>3575.3433333333332</v>
      </c>
      <c r="R760" s="349">
        <f>D755</f>
        <v>258169</v>
      </c>
      <c r="S760" s="345">
        <f t="shared" ref="S760:S763" si="150">R760/60</f>
        <v>4302.8166666666666</v>
      </c>
      <c r="T760" s="349"/>
      <c r="U760" s="343"/>
      <c r="V760" s="349"/>
      <c r="W760" s="343"/>
      <c r="X760" s="343"/>
      <c r="Y760" s="343"/>
      <c r="Z760" s="349"/>
      <c r="AA760" s="343"/>
      <c r="AC760" s="337" t="s">
        <v>243</v>
      </c>
      <c r="AD760" s="337" t="s">
        <v>242</v>
      </c>
      <c r="AE760" s="337">
        <v>157.30000000000001</v>
      </c>
      <c r="AF760" s="337">
        <v>5</v>
      </c>
    </row>
    <row r="761" spans="1:37" ht="17.399999999999999" x14ac:dyDescent="0.35">
      <c r="A761" s="511"/>
      <c r="B761" s="164"/>
      <c r="C761" s="344" t="s">
        <v>236</v>
      </c>
      <c r="D761" s="345">
        <v>157647.1</v>
      </c>
      <c r="E761" s="345">
        <f t="shared" ref="E761:E763" si="151">D761/60</f>
        <v>2627.4516666666668</v>
      </c>
      <c r="F761" s="346">
        <v>173546</v>
      </c>
      <c r="G761" s="345">
        <v>2892.4333333333334</v>
      </c>
      <c r="H761" s="347">
        <v>231552.7</v>
      </c>
      <c r="I761" s="345">
        <f t="shared" si="147"/>
        <v>3859.211666666667</v>
      </c>
      <c r="J761" s="347">
        <v>249952</v>
      </c>
      <c r="K761" s="345">
        <f t="shared" si="148"/>
        <v>4165.8666666666668</v>
      </c>
      <c r="L761" s="349">
        <v>187220</v>
      </c>
      <c r="M761" s="345">
        <f t="shared" si="149"/>
        <v>3120.3333333333335</v>
      </c>
      <c r="N761" s="349">
        <v>185284.84</v>
      </c>
      <c r="O761" s="345">
        <v>3088.0806666666667</v>
      </c>
      <c r="P761" s="349">
        <v>116716.12</v>
      </c>
      <c r="Q761" s="345">
        <v>1945.2686666666666</v>
      </c>
      <c r="R761" s="349">
        <f>S755</f>
        <v>133671.28</v>
      </c>
      <c r="S761" s="345">
        <f t="shared" si="150"/>
        <v>2227.8546666666666</v>
      </c>
      <c r="T761" s="349"/>
      <c r="U761" s="343"/>
      <c r="V761" s="349"/>
      <c r="W761" s="343"/>
      <c r="X761" s="343"/>
      <c r="Y761" s="343"/>
      <c r="Z761" s="349"/>
      <c r="AA761" s="343"/>
      <c r="AC761" s="337" t="s">
        <v>741</v>
      </c>
      <c r="AD761" s="337" t="s">
        <v>242</v>
      </c>
      <c r="AE761" s="337">
        <v>55.3</v>
      </c>
      <c r="AF761" s="337">
        <v>5</v>
      </c>
    </row>
    <row r="762" spans="1:37" ht="17.399999999999999" x14ac:dyDescent="0.35">
      <c r="A762" s="511"/>
      <c r="B762" s="164"/>
      <c r="C762" s="344" t="s">
        <v>237</v>
      </c>
      <c r="D762" s="345">
        <v>74670</v>
      </c>
      <c r="E762" s="345">
        <f t="shared" si="151"/>
        <v>1244.5</v>
      </c>
      <c r="F762" s="346">
        <v>96006.8</v>
      </c>
      <c r="G762" s="345">
        <v>1600.1133333333335</v>
      </c>
      <c r="H762" s="347">
        <v>138906.20000000001</v>
      </c>
      <c r="I762" s="345">
        <f t="shared" si="147"/>
        <v>2315.1033333333335</v>
      </c>
      <c r="J762" s="347">
        <v>95281.8</v>
      </c>
      <c r="K762" s="345">
        <f t="shared" si="148"/>
        <v>1588.03</v>
      </c>
      <c r="L762" s="349">
        <v>81555</v>
      </c>
      <c r="M762" s="345">
        <f t="shared" si="149"/>
        <v>1359.25</v>
      </c>
      <c r="N762" s="349">
        <v>76820.800000000003</v>
      </c>
      <c r="O762" s="345">
        <v>1280.3466666666668</v>
      </c>
      <c r="P762" s="349">
        <v>67168</v>
      </c>
      <c r="Q762" s="345">
        <v>1119.4666666666667</v>
      </c>
      <c r="R762" s="349">
        <f>N755</f>
        <v>76717.899999999994</v>
      </c>
      <c r="S762" s="345">
        <f t="shared" si="150"/>
        <v>1278.6316666666667</v>
      </c>
      <c r="T762" s="349"/>
      <c r="U762" s="343"/>
      <c r="V762" s="349"/>
      <c r="W762" s="343"/>
      <c r="X762" s="343"/>
      <c r="Y762" s="343"/>
      <c r="Z762" s="349"/>
      <c r="AA762" s="343"/>
      <c r="AC762" s="337" t="s">
        <v>617</v>
      </c>
      <c r="AD762" s="337" t="s">
        <v>242</v>
      </c>
      <c r="AE762" s="337">
        <v>152.28</v>
      </c>
      <c r="AF762" s="337">
        <v>4</v>
      </c>
    </row>
    <row r="763" spans="1:37" ht="17.399999999999999" x14ac:dyDescent="0.35">
      <c r="A763" s="511"/>
      <c r="B763" s="164"/>
      <c r="C763" s="344" t="s">
        <v>238</v>
      </c>
      <c r="D763" s="345">
        <v>6660.85</v>
      </c>
      <c r="E763" s="345">
        <f t="shared" si="151"/>
        <v>111.01416666666667</v>
      </c>
      <c r="F763" s="346">
        <v>46265.5</v>
      </c>
      <c r="G763" s="345">
        <v>771.0916666666667</v>
      </c>
      <c r="H763" s="347">
        <v>90103.58</v>
      </c>
      <c r="I763" s="345">
        <f t="shared" si="147"/>
        <v>1501.7263333333333</v>
      </c>
      <c r="J763" s="347">
        <v>81565.8</v>
      </c>
      <c r="K763" s="345">
        <f t="shared" si="148"/>
        <v>1359.43</v>
      </c>
      <c r="L763" s="351">
        <v>19857.829999999998</v>
      </c>
      <c r="M763" s="345">
        <f>L763/60</f>
        <v>330.9638333333333</v>
      </c>
      <c r="N763" s="351"/>
      <c r="O763" s="345">
        <v>0</v>
      </c>
      <c r="P763" s="351"/>
      <c r="Q763" s="345">
        <v>0</v>
      </c>
      <c r="R763" s="351"/>
      <c r="S763" s="345">
        <f t="shared" si="150"/>
        <v>0</v>
      </c>
      <c r="T763" s="351"/>
      <c r="U763" s="343"/>
      <c r="V763" s="351"/>
      <c r="W763" s="343"/>
      <c r="X763" s="350"/>
      <c r="Y763" s="343"/>
      <c r="Z763" s="350"/>
      <c r="AA763" s="343"/>
      <c r="AC763" s="337" t="s">
        <v>245</v>
      </c>
      <c r="AD763" s="337" t="s">
        <v>242</v>
      </c>
      <c r="AE763" s="339">
        <v>142.38</v>
      </c>
      <c r="AF763" s="337">
        <v>20</v>
      </c>
    </row>
    <row r="764" spans="1:37" ht="17.399999999999999" x14ac:dyDescent="0.35">
      <c r="A764" s="511"/>
      <c r="B764" s="265"/>
      <c r="C764" s="344" t="s">
        <v>239</v>
      </c>
      <c r="D764" s="345">
        <v>3672</v>
      </c>
      <c r="E764" s="345">
        <f>D764/60</f>
        <v>61.2</v>
      </c>
      <c r="F764" s="346">
        <v>72295.34</v>
      </c>
      <c r="G764" s="345">
        <v>1204.9223333333332</v>
      </c>
      <c r="H764" s="347">
        <v>69349.39999999998</v>
      </c>
      <c r="I764" s="345">
        <f t="shared" si="147"/>
        <v>1155.823333333333</v>
      </c>
      <c r="J764" s="347">
        <v>60896.53</v>
      </c>
      <c r="K764" s="345">
        <f t="shared" si="148"/>
        <v>1014.9421666666666</v>
      </c>
      <c r="L764" s="347">
        <v>35794.719999999994</v>
      </c>
      <c r="M764" s="345">
        <f t="shared" ref="M764" si="152">L764/60</f>
        <v>596.57866666666655</v>
      </c>
      <c r="N764" s="347"/>
      <c r="O764" s="345">
        <v>0</v>
      </c>
      <c r="P764" s="343">
        <v>37987.25</v>
      </c>
      <c r="Q764" s="345">
        <v>633.12083333333328</v>
      </c>
      <c r="R764" s="343">
        <f>AJ771</f>
        <v>29885.780000000002</v>
      </c>
      <c r="S764" s="345">
        <f>R764/60</f>
        <v>498.09633333333335</v>
      </c>
      <c r="T764" s="343"/>
      <c r="U764" s="343"/>
      <c r="V764" s="343"/>
      <c r="W764" s="343"/>
      <c r="X764" s="343"/>
      <c r="Y764" s="343"/>
      <c r="Z764" s="343"/>
      <c r="AA764" s="343"/>
      <c r="AC764" s="337" t="s">
        <v>361</v>
      </c>
      <c r="AD764" s="337" t="s">
        <v>242</v>
      </c>
      <c r="AE764" s="337">
        <v>42.29</v>
      </c>
      <c r="AF764" s="337">
        <v>1</v>
      </c>
    </row>
    <row r="765" spans="1:37" ht="17.399999999999999" x14ac:dyDescent="0.35">
      <c r="A765" s="511"/>
      <c r="B765" s="164"/>
      <c r="C765" s="162"/>
      <c r="D765" s="163"/>
      <c r="E765" s="352">
        <f>SUM(E759:E764)</f>
        <v>8988.8024999999998</v>
      </c>
      <c r="F765" s="353"/>
      <c r="G765" s="352">
        <f>SUM(G759:G764)</f>
        <v>13607.350666666669</v>
      </c>
      <c r="H765" s="347"/>
      <c r="I765" s="352">
        <f>SUM(I759:I764)</f>
        <v>17039.464666666667</v>
      </c>
      <c r="J765" s="347"/>
      <c r="K765" s="352">
        <f>SUM(K759:K764)</f>
        <v>16594.642166666668</v>
      </c>
      <c r="L765" s="343"/>
      <c r="M765" s="352">
        <f>SUM(M759:M764)</f>
        <v>13625.2125</v>
      </c>
      <c r="N765" s="343"/>
      <c r="O765" s="352">
        <v>13495.767333333333</v>
      </c>
      <c r="P765" s="343"/>
      <c r="Q765" s="375">
        <f>SUM(Q759:Q764)</f>
        <v>10086.3495</v>
      </c>
      <c r="R765" s="343"/>
      <c r="S765" s="375">
        <f>SUM(S759:S764)</f>
        <v>11890.449333333332</v>
      </c>
      <c r="T765" s="343"/>
      <c r="U765" s="354"/>
      <c r="V765" s="343"/>
      <c r="W765" s="354"/>
      <c r="X765" s="343"/>
      <c r="Y765" s="354"/>
      <c r="Z765" s="343"/>
      <c r="AA765" s="356"/>
      <c r="AC765" s="337" t="s">
        <v>858</v>
      </c>
      <c r="AD765" s="337" t="s">
        <v>242</v>
      </c>
      <c r="AE765" s="337">
        <v>833.8</v>
      </c>
      <c r="AF765" s="337">
        <v>23</v>
      </c>
    </row>
    <row r="766" spans="1:37" ht="17.399999999999999" x14ac:dyDescent="0.35">
      <c r="A766" s="511"/>
      <c r="B766" s="164"/>
      <c r="C766" s="164"/>
      <c r="D766" s="164"/>
      <c r="E766" s="164"/>
      <c r="F766" s="287"/>
      <c r="G766" s="164"/>
      <c r="H766" s="164"/>
      <c r="I766" s="164"/>
      <c r="J766" s="164"/>
      <c r="K766" s="164"/>
      <c r="L766" s="164"/>
      <c r="M766" s="165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  <c r="AA766" s="164"/>
      <c r="AC766" s="337" t="s">
        <v>352</v>
      </c>
      <c r="AD766" s="337" t="s">
        <v>242</v>
      </c>
      <c r="AE766" s="337">
        <v>95.4</v>
      </c>
      <c r="AF766" s="337">
        <v>6</v>
      </c>
    </row>
    <row r="767" spans="1:37" x14ac:dyDescent="0.3">
      <c r="A767" s="511"/>
      <c r="B767" s="93"/>
      <c r="C767" s="93"/>
      <c r="D767" s="93"/>
      <c r="E767" s="93"/>
      <c r="F767" s="286"/>
      <c r="G767" s="93"/>
      <c r="H767" s="93"/>
      <c r="I767" s="93"/>
      <c r="J767" s="93"/>
      <c r="K767" s="93"/>
      <c r="L767" s="93"/>
      <c r="M767" s="93"/>
      <c r="N767" s="252"/>
      <c r="O767" s="93"/>
      <c r="P767" s="93"/>
      <c r="Q767" s="93"/>
      <c r="R767" s="93"/>
      <c r="S767" s="385"/>
      <c r="T767" s="93"/>
      <c r="U767" s="93"/>
      <c r="V767" s="93"/>
      <c r="W767" s="93"/>
      <c r="X767" s="93"/>
      <c r="Y767" s="93"/>
      <c r="Z767" s="93"/>
      <c r="AA767" s="93"/>
      <c r="AC767" s="337" t="s">
        <v>859</v>
      </c>
      <c r="AD767" s="337" t="s">
        <v>242</v>
      </c>
      <c r="AE767" s="337">
        <v>488.3</v>
      </c>
      <c r="AF767" s="337">
        <v>26</v>
      </c>
    </row>
    <row r="768" spans="1:37" x14ac:dyDescent="0.3">
      <c r="A768" s="511"/>
      <c r="B768" s="93"/>
      <c r="C768" s="93"/>
      <c r="D768" s="93"/>
      <c r="E768" s="93"/>
      <c r="F768" s="286"/>
      <c r="G768" s="93"/>
      <c r="H768" s="93"/>
      <c r="I768" s="93"/>
      <c r="J768" s="93"/>
      <c r="K768" s="93"/>
      <c r="L768" s="208"/>
      <c r="M768" s="93"/>
      <c r="N768" s="93"/>
      <c r="O768" s="93"/>
      <c r="P768" s="93"/>
      <c r="Q768" s="93"/>
      <c r="R768" s="93"/>
      <c r="S768" s="385"/>
      <c r="T768" s="93"/>
      <c r="U768" s="93"/>
      <c r="V768" s="93"/>
      <c r="W768" s="93"/>
      <c r="X768" s="93"/>
      <c r="Y768" s="93"/>
      <c r="Z768" s="93"/>
      <c r="AA768" s="93"/>
      <c r="AC768" s="337" t="s">
        <v>271</v>
      </c>
      <c r="AD768" s="337" t="s">
        <v>242</v>
      </c>
      <c r="AE768" s="337">
        <v>274.95999999999998</v>
      </c>
      <c r="AF768" s="337">
        <v>17</v>
      </c>
    </row>
    <row r="769" spans="1:36" x14ac:dyDescent="0.3">
      <c r="A769" s="511"/>
      <c r="B769" s="93"/>
      <c r="C769" s="93"/>
      <c r="D769" s="93"/>
      <c r="E769" s="93"/>
      <c r="F769" s="286"/>
      <c r="G769" s="93"/>
      <c r="H769" s="93"/>
      <c r="I769" s="93"/>
      <c r="J769" s="93"/>
      <c r="K769" s="93"/>
      <c r="L769" s="208"/>
      <c r="M769" s="93"/>
      <c r="N769" s="93"/>
      <c r="O769" s="93"/>
      <c r="P769" s="93"/>
      <c r="Q769" s="93"/>
      <c r="R769" s="93"/>
      <c r="S769" s="385"/>
      <c r="T769" s="93"/>
      <c r="U769" s="93"/>
      <c r="V769" s="93"/>
      <c r="W769" s="93"/>
      <c r="X769" s="93"/>
      <c r="Y769" s="93"/>
      <c r="Z769" s="93"/>
      <c r="AA769" s="93"/>
      <c r="AC769" s="337" t="s">
        <v>860</v>
      </c>
      <c r="AD769" s="337" t="s">
        <v>242</v>
      </c>
      <c r="AE769" s="337">
        <v>603.67999999999995</v>
      </c>
      <c r="AF769" s="337">
        <v>22</v>
      </c>
    </row>
    <row r="770" spans="1:36" ht="15" thickBot="1" x14ac:dyDescent="0.35">
      <c r="A770" s="511"/>
      <c r="B770" s="93"/>
      <c r="C770" s="93"/>
      <c r="D770" s="93"/>
      <c r="E770" s="93"/>
      <c r="F770" s="286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C770" s="337" t="s">
        <v>861</v>
      </c>
      <c r="AD770" s="337" t="s">
        <v>242</v>
      </c>
      <c r="AE770" s="337">
        <v>112</v>
      </c>
      <c r="AF770" s="337">
        <v>13</v>
      </c>
    </row>
    <row r="771" spans="1:36" ht="31.8" thickBot="1" x14ac:dyDescent="0.65">
      <c r="A771" s="511"/>
      <c r="B771" s="525" t="s">
        <v>246</v>
      </c>
      <c r="C771" s="525"/>
      <c r="D771" s="525"/>
      <c r="E771" s="525"/>
      <c r="F771" s="525"/>
      <c r="G771" s="525"/>
      <c r="H771" s="525"/>
      <c r="I771" s="525"/>
      <c r="J771" s="525"/>
      <c r="K771" s="525"/>
      <c r="L771" s="525"/>
      <c r="M771" s="525"/>
      <c r="N771" s="525"/>
      <c r="O771" s="525"/>
      <c r="P771" s="525"/>
      <c r="Q771" s="525"/>
      <c r="R771" s="525"/>
      <c r="S771" s="525"/>
      <c r="T771" s="525"/>
      <c r="U771" s="525"/>
      <c r="V771" s="525"/>
      <c r="W771" s="525"/>
      <c r="X771" s="525"/>
      <c r="Y771" s="525"/>
      <c r="Z771" s="525"/>
      <c r="AA771" s="526"/>
      <c r="AC771" s="337" t="s">
        <v>862</v>
      </c>
      <c r="AD771" s="337" t="s">
        <v>242</v>
      </c>
      <c r="AE771" s="337">
        <v>247</v>
      </c>
      <c r="AF771" s="337">
        <v>22</v>
      </c>
      <c r="AJ771" s="443">
        <f>SUM(AE712:AE792,AJ712:AJ758)</f>
        <v>29885.780000000002</v>
      </c>
    </row>
    <row r="772" spans="1:36" ht="17.399999999999999" thickBot="1" x14ac:dyDescent="0.35">
      <c r="A772" s="511"/>
      <c r="B772" s="527"/>
      <c r="C772" s="527"/>
      <c r="D772" s="166" t="s">
        <v>247</v>
      </c>
      <c r="E772" s="167" t="s">
        <v>248</v>
      </c>
      <c r="F772" s="374" t="s">
        <v>249</v>
      </c>
      <c r="G772" s="167" t="s">
        <v>250</v>
      </c>
      <c r="H772" s="166" t="s">
        <v>251</v>
      </c>
      <c r="I772" s="167" t="s">
        <v>252</v>
      </c>
      <c r="J772" s="166" t="s">
        <v>253</v>
      </c>
      <c r="K772" s="167" t="s">
        <v>254</v>
      </c>
      <c r="L772" s="166" t="s">
        <v>255</v>
      </c>
      <c r="M772" s="167" t="s">
        <v>256</v>
      </c>
      <c r="N772" s="168" t="s">
        <v>257</v>
      </c>
      <c r="O772" s="169" t="s">
        <v>258</v>
      </c>
      <c r="P772" s="166" t="s">
        <v>259</v>
      </c>
      <c r="Q772" s="167" t="s">
        <v>260</v>
      </c>
      <c r="R772" s="469" t="s">
        <v>261</v>
      </c>
      <c r="S772" s="468" t="s">
        <v>262</v>
      </c>
      <c r="T772" s="166" t="s">
        <v>263</v>
      </c>
      <c r="U772" s="166" t="s">
        <v>264</v>
      </c>
      <c r="V772" s="166" t="s">
        <v>265</v>
      </c>
      <c r="W772" s="170" t="s">
        <v>266</v>
      </c>
      <c r="X772" s="166" t="s">
        <v>267</v>
      </c>
      <c r="Y772" s="170" t="s">
        <v>268</v>
      </c>
      <c r="Z772" s="166" t="s">
        <v>269</v>
      </c>
      <c r="AA772" s="170" t="s">
        <v>270</v>
      </c>
      <c r="AC772" s="337" t="s">
        <v>1039</v>
      </c>
      <c r="AD772" s="337" t="s">
        <v>242</v>
      </c>
      <c r="AE772" s="337">
        <v>182</v>
      </c>
      <c r="AF772" s="337">
        <v>21</v>
      </c>
    </row>
    <row r="773" spans="1:36" ht="17.399999999999999" x14ac:dyDescent="0.35">
      <c r="A773" s="511"/>
      <c r="B773" s="357">
        <v>110012</v>
      </c>
      <c r="C773" s="171" t="s">
        <v>272</v>
      </c>
      <c r="D773" s="372">
        <v>707750.65</v>
      </c>
      <c r="E773" s="204">
        <f>D773/60</f>
        <v>11795.844166666668</v>
      </c>
      <c r="F773" s="372">
        <v>953892</v>
      </c>
      <c r="G773" s="204">
        <f>F773/60</f>
        <v>15898.2</v>
      </c>
      <c r="H773" s="372">
        <v>1116136.94</v>
      </c>
      <c r="I773" s="204">
        <f>H773/60</f>
        <v>18602.282333333333</v>
      </c>
      <c r="J773" s="372">
        <v>995678.48999999976</v>
      </c>
      <c r="K773" s="376">
        <f>J773/60</f>
        <v>16594.641499999994</v>
      </c>
      <c r="L773" s="172">
        <v>817512.75</v>
      </c>
      <c r="M773" s="423">
        <f>L773/60</f>
        <v>13625.2125</v>
      </c>
      <c r="N773" s="176">
        <v>927112.95</v>
      </c>
      <c r="O773" s="173">
        <f>N773/60</f>
        <v>15451.8825</v>
      </c>
      <c r="P773" s="176">
        <v>605180.7900000005</v>
      </c>
      <c r="Q773" s="376">
        <f>P773/60</f>
        <v>10086.346500000009</v>
      </c>
      <c r="R773" s="176">
        <v>713426.96000000031</v>
      </c>
      <c r="S773" s="376">
        <f>R773/60</f>
        <v>11890.449333333339</v>
      </c>
      <c r="T773" s="177"/>
      <c r="U773" s="173">
        <f>T773/60</f>
        <v>0</v>
      </c>
      <c r="V773" s="176"/>
      <c r="W773" s="173">
        <f>V773/60</f>
        <v>0</v>
      </c>
      <c r="X773" s="176"/>
      <c r="Y773" s="173">
        <f>X773/60</f>
        <v>0</v>
      </c>
      <c r="Z773" s="176"/>
      <c r="AA773" s="173">
        <f>Z773/60</f>
        <v>0</v>
      </c>
      <c r="AC773" s="337" t="s">
        <v>355</v>
      </c>
      <c r="AD773" s="337" t="s">
        <v>242</v>
      </c>
      <c r="AE773" s="337">
        <v>957.5</v>
      </c>
      <c r="AF773" s="337">
        <v>10</v>
      </c>
    </row>
    <row r="774" spans="1:36" ht="17.399999999999999" x14ac:dyDescent="0.35">
      <c r="A774" s="511"/>
      <c r="B774" s="412">
        <v>1104111</v>
      </c>
      <c r="C774" s="413" t="s">
        <v>1015</v>
      </c>
      <c r="D774" s="372"/>
      <c r="E774" s="414"/>
      <c r="F774" s="372"/>
      <c r="G774" s="414"/>
      <c r="H774" s="372"/>
      <c r="I774" s="414"/>
      <c r="J774" s="372"/>
      <c r="K774" s="415"/>
      <c r="L774" s="416"/>
      <c r="M774" s="422"/>
      <c r="N774" s="417">
        <v>16328.2</v>
      </c>
      <c r="O774" s="184">
        <f>N774/60</f>
        <v>272.13666666666666</v>
      </c>
      <c r="P774" s="417">
        <v>22111.600000000002</v>
      </c>
      <c r="Q774" s="184">
        <f>P774/60</f>
        <v>368.5266666666667</v>
      </c>
      <c r="R774" s="417">
        <v>103076.80000000005</v>
      </c>
      <c r="S774" s="470">
        <f t="shared" ref="S774:S776" si="153">R774/60</f>
        <v>1717.9466666666674</v>
      </c>
      <c r="T774" s="418"/>
      <c r="U774" s="184"/>
      <c r="V774" s="417"/>
      <c r="W774" s="184"/>
      <c r="X774" s="417"/>
      <c r="Y774" s="184"/>
      <c r="Z774" s="417"/>
      <c r="AA774" s="184"/>
      <c r="AC774" s="337" t="s">
        <v>356</v>
      </c>
      <c r="AD774" s="337" t="s">
        <v>242</v>
      </c>
      <c r="AE774" s="339">
        <v>680.95</v>
      </c>
      <c r="AF774" s="337">
        <v>10</v>
      </c>
    </row>
    <row r="775" spans="1:36" ht="17.399999999999999" x14ac:dyDescent="0.35">
      <c r="A775" s="511"/>
      <c r="B775" s="412">
        <v>1104110</v>
      </c>
      <c r="C775" s="413" t="s">
        <v>1016</v>
      </c>
      <c r="D775" s="372"/>
      <c r="E775" s="414"/>
      <c r="F775" s="372"/>
      <c r="G775" s="414"/>
      <c r="H775" s="372"/>
      <c r="I775" s="414"/>
      <c r="J775" s="372"/>
      <c r="K775" s="415"/>
      <c r="L775" s="416"/>
      <c r="M775" s="422"/>
      <c r="N775" s="429"/>
      <c r="O775" s="184">
        <f t="shared" ref="O775:O776" si="154">N775/60</f>
        <v>0</v>
      </c>
      <c r="P775" s="429">
        <v>424.5</v>
      </c>
      <c r="Q775" s="184">
        <f t="shared" ref="Q775:Q776" si="155">P775/60</f>
        <v>7.0750000000000002</v>
      </c>
      <c r="R775" s="429">
        <v>139.28</v>
      </c>
      <c r="S775" s="470">
        <f t="shared" si="153"/>
        <v>2.3213333333333335</v>
      </c>
      <c r="T775" s="418"/>
      <c r="U775" s="184"/>
      <c r="V775" s="417"/>
      <c r="W775" s="184"/>
      <c r="X775" s="417"/>
      <c r="Y775" s="184"/>
      <c r="Z775" s="417"/>
      <c r="AA775" s="184"/>
      <c r="AC775" s="337" t="s">
        <v>520</v>
      </c>
      <c r="AD775" s="337" t="s">
        <v>242</v>
      </c>
      <c r="AE775" s="339">
        <v>432.8</v>
      </c>
      <c r="AF775" s="337">
        <v>10</v>
      </c>
    </row>
    <row r="776" spans="1:36" ht="17.399999999999999" x14ac:dyDescent="0.35">
      <c r="A776" s="511"/>
      <c r="B776" s="412">
        <v>1104112</v>
      </c>
      <c r="C776" s="413" t="s">
        <v>1017</v>
      </c>
      <c r="D776" s="372"/>
      <c r="E776" s="414"/>
      <c r="F776" s="372"/>
      <c r="G776" s="414"/>
      <c r="H776" s="372"/>
      <c r="I776" s="414"/>
      <c r="J776" s="372"/>
      <c r="K776" s="415"/>
      <c r="L776" s="416"/>
      <c r="M776" s="422"/>
      <c r="N776" s="182"/>
      <c r="O776" s="184">
        <f t="shared" si="154"/>
        <v>0</v>
      </c>
      <c r="P776" s="182">
        <v>1590</v>
      </c>
      <c r="Q776" s="184">
        <f t="shared" si="155"/>
        <v>26.5</v>
      </c>
      <c r="R776" s="182">
        <v>6341.0300000000007</v>
      </c>
      <c r="S776" s="470">
        <f t="shared" si="153"/>
        <v>105.68383333333334</v>
      </c>
      <c r="T776" s="418"/>
      <c r="U776" s="184"/>
      <c r="V776" s="417"/>
      <c r="W776" s="184"/>
      <c r="X776" s="417"/>
      <c r="Y776" s="184"/>
      <c r="Z776" s="417"/>
      <c r="AA776" s="184"/>
      <c r="AC776" s="337" t="s">
        <v>359</v>
      </c>
      <c r="AD776" s="337" t="s">
        <v>242</v>
      </c>
      <c r="AE776" s="337">
        <v>313.5</v>
      </c>
      <c r="AF776" s="337">
        <v>32</v>
      </c>
    </row>
    <row r="777" spans="1:36" ht="17.399999999999999" x14ac:dyDescent="0.35">
      <c r="A777" s="511"/>
      <c r="B777" s="412">
        <v>1104211</v>
      </c>
      <c r="C777" s="413" t="s">
        <v>1014</v>
      </c>
      <c r="D777" s="372"/>
      <c r="E777" s="414"/>
      <c r="F777" s="372"/>
      <c r="G777" s="414"/>
      <c r="H777" s="372"/>
      <c r="I777" s="414"/>
      <c r="J777" s="372"/>
      <c r="K777" s="415"/>
      <c r="L777" s="416"/>
      <c r="M777" s="422"/>
      <c r="N777" s="417">
        <v>32625</v>
      </c>
      <c r="O777" s="184"/>
      <c r="P777" s="417">
        <v>62288</v>
      </c>
      <c r="Q777" s="184"/>
      <c r="R777" s="417">
        <v>94243</v>
      </c>
      <c r="S777" s="470"/>
      <c r="T777" s="418"/>
      <c r="U777" s="184"/>
      <c r="V777" s="417"/>
      <c r="W777" s="184"/>
      <c r="X777" s="417"/>
      <c r="Y777" s="184"/>
      <c r="Z777" s="417"/>
      <c r="AA777" s="184"/>
      <c r="AC777" s="337" t="s">
        <v>1040</v>
      </c>
      <c r="AD777" s="337" t="s">
        <v>242</v>
      </c>
      <c r="AE777" s="337">
        <v>167.2</v>
      </c>
      <c r="AF777" s="337">
        <v>9</v>
      </c>
    </row>
    <row r="778" spans="1:36" ht="17.399999999999999" x14ac:dyDescent="0.35">
      <c r="A778" s="511"/>
      <c r="B778" s="412">
        <v>1104210</v>
      </c>
      <c r="C778" s="413" t="s">
        <v>1014</v>
      </c>
      <c r="D778" s="372"/>
      <c r="E778" s="414"/>
      <c r="F778" s="372"/>
      <c r="G778" s="414"/>
      <c r="H778" s="372"/>
      <c r="I778" s="414"/>
      <c r="J778" s="372"/>
      <c r="K778" s="415"/>
      <c r="L778" s="416"/>
      <c r="M778" s="422"/>
      <c r="N778" s="417">
        <v>132794.68</v>
      </c>
      <c r="O778" s="184"/>
      <c r="P778" s="417">
        <v>161509.07999999999</v>
      </c>
      <c r="Q778" s="184"/>
      <c r="R778" s="417">
        <v>212838.56</v>
      </c>
      <c r="S778" s="470"/>
      <c r="T778" s="418"/>
      <c r="U778" s="184"/>
      <c r="V778" s="417"/>
      <c r="W778" s="184"/>
      <c r="X778" s="417"/>
      <c r="Y778" s="184"/>
      <c r="Z778" s="417"/>
      <c r="AA778" s="184"/>
      <c r="AC778" s="337" t="s">
        <v>580</v>
      </c>
      <c r="AD778" s="337" t="s">
        <v>242</v>
      </c>
      <c r="AE778" s="339">
        <v>1160.99</v>
      </c>
      <c r="AF778" s="337">
        <v>63</v>
      </c>
    </row>
    <row r="779" spans="1:36" ht="17.399999999999999" x14ac:dyDescent="0.35">
      <c r="A779" s="511"/>
      <c r="B779" s="412">
        <v>1104212</v>
      </c>
      <c r="C779" s="413" t="s">
        <v>1014</v>
      </c>
      <c r="D779" s="372"/>
      <c r="E779" s="414"/>
      <c r="F779" s="372"/>
      <c r="G779" s="414"/>
      <c r="H779" s="372"/>
      <c r="I779" s="414"/>
      <c r="J779" s="372"/>
      <c r="K779" s="415"/>
      <c r="L779" s="416"/>
      <c r="M779" s="422"/>
      <c r="N779" s="417">
        <v>17616</v>
      </c>
      <c r="O779" s="184"/>
      <c r="P779" s="417">
        <v>17727</v>
      </c>
      <c r="Q779" s="184"/>
      <c r="R779" s="417">
        <v>26868.030000000002</v>
      </c>
      <c r="S779" s="470"/>
      <c r="T779" s="418"/>
      <c r="U779" s="184"/>
      <c r="V779" s="417"/>
      <c r="W779" s="184"/>
      <c r="X779" s="417"/>
      <c r="Y779" s="184"/>
      <c r="Z779" s="417"/>
      <c r="AA779" s="184"/>
      <c r="AC779" s="337" t="s">
        <v>1041</v>
      </c>
      <c r="AD779" s="337" t="s">
        <v>242</v>
      </c>
      <c r="AE779" s="337">
        <v>137.1</v>
      </c>
      <c r="AF779" s="337">
        <v>15</v>
      </c>
    </row>
    <row r="780" spans="1:36" ht="17.399999999999999" x14ac:dyDescent="0.35">
      <c r="A780" s="511"/>
      <c r="B780" s="412"/>
      <c r="C780" s="413" t="s">
        <v>283</v>
      </c>
      <c r="D780" s="372"/>
      <c r="E780" s="414"/>
      <c r="F780" s="372"/>
      <c r="G780" s="414"/>
      <c r="H780" s="372"/>
      <c r="I780" s="414"/>
      <c r="J780" s="372"/>
      <c r="K780" s="415"/>
      <c r="L780" s="416"/>
      <c r="M780" s="422"/>
      <c r="N780" s="206">
        <f>SUM(N777:N779)</f>
        <v>183035.68</v>
      </c>
      <c r="O780" s="281">
        <f>N780/60</f>
        <v>3050.5946666666664</v>
      </c>
      <c r="P780" s="206">
        <f>SUM(P777:P779)</f>
        <v>241524.08</v>
      </c>
      <c r="Q780" s="281">
        <f>P780/60</f>
        <v>4025.4013333333332</v>
      </c>
      <c r="R780" s="206">
        <f>SUM(R777:R779)</f>
        <v>333949.59000000003</v>
      </c>
      <c r="S780" s="470">
        <f>R780/60</f>
        <v>5565.8265000000001</v>
      </c>
      <c r="T780" s="465">
        <f>SUM(T777:T779)</f>
        <v>0</v>
      </c>
      <c r="U780" s="281">
        <f>T780/60</f>
        <v>0</v>
      </c>
      <c r="V780" s="206">
        <f>SUM(V777:V779)</f>
        <v>0</v>
      </c>
      <c r="W780" s="281">
        <f>V780/60</f>
        <v>0</v>
      </c>
      <c r="X780" s="206">
        <f>SUM(X777:X779)</f>
        <v>0</v>
      </c>
      <c r="Y780" s="281">
        <f>X780/60</f>
        <v>0</v>
      </c>
      <c r="Z780" s="206">
        <f>SUM(Z777:Z779)</f>
        <v>0</v>
      </c>
      <c r="AA780" s="281">
        <f>Z780/60</f>
        <v>0</v>
      </c>
      <c r="AC780" s="337" t="s">
        <v>581</v>
      </c>
      <c r="AD780" s="337" t="s">
        <v>242</v>
      </c>
      <c r="AE780" s="337">
        <v>144.29</v>
      </c>
      <c r="AF780" s="337">
        <v>6</v>
      </c>
    </row>
    <row r="781" spans="1:36" ht="17.399999999999999" x14ac:dyDescent="0.35">
      <c r="A781" s="511"/>
      <c r="B781" s="412">
        <v>1104200</v>
      </c>
      <c r="C781" s="413" t="s">
        <v>26</v>
      </c>
      <c r="D781" s="372"/>
      <c r="E781" s="414"/>
      <c r="F781" s="372"/>
      <c r="G781" s="414"/>
      <c r="H781" s="372"/>
      <c r="I781" s="414"/>
      <c r="J781" s="372"/>
      <c r="K781" s="415"/>
      <c r="L781" s="416"/>
      <c r="M781" s="422"/>
      <c r="N781" s="420">
        <v>91789.36</v>
      </c>
      <c r="O781" s="184">
        <f>N781/60</f>
        <v>1529.8226666666667</v>
      </c>
      <c r="P781" s="420">
        <v>33</v>
      </c>
      <c r="Q781" s="184">
        <f>(P781+P764)/60</f>
        <v>633.67083333333335</v>
      </c>
      <c r="R781" s="420">
        <v>31661.340000000026</v>
      </c>
      <c r="S781" s="470">
        <f>R781/60+S764</f>
        <v>1025.7853333333337</v>
      </c>
      <c r="T781" s="418"/>
      <c r="U781" s="184"/>
      <c r="V781" s="417"/>
      <c r="W781" s="184"/>
      <c r="X781" s="417"/>
      <c r="Y781" s="184"/>
      <c r="Z781" s="417"/>
      <c r="AA781" s="184"/>
      <c r="AC781" s="337" t="s">
        <v>1042</v>
      </c>
      <c r="AD781" s="337" t="s">
        <v>242</v>
      </c>
      <c r="AE781" s="337">
        <v>303.32</v>
      </c>
      <c r="AF781" s="337">
        <v>8</v>
      </c>
    </row>
    <row r="782" spans="1:36" ht="17.399999999999999" x14ac:dyDescent="0.35">
      <c r="A782" s="511"/>
      <c r="B782" s="358">
        <v>110050</v>
      </c>
      <c r="C782" s="178" t="s">
        <v>274</v>
      </c>
      <c r="D782" s="372">
        <v>95098.28</v>
      </c>
      <c r="E782" s="281">
        <f>D782/60</f>
        <v>1584.9713333333334</v>
      </c>
      <c r="F782" s="372">
        <v>142327.5</v>
      </c>
      <c r="G782" s="281">
        <f>F782/60</f>
        <v>2372.125</v>
      </c>
      <c r="H782" s="372">
        <v>150523.96</v>
      </c>
      <c r="I782" s="281">
        <f>H782/60</f>
        <v>2508.7326666666663</v>
      </c>
      <c r="J782" s="372">
        <v>134640.28000000003</v>
      </c>
      <c r="K782" s="180">
        <f>J782/60</f>
        <v>2244.0046666666672</v>
      </c>
      <c r="L782" s="179">
        <v>105169.62</v>
      </c>
      <c r="M782" s="424">
        <f>L782/60</f>
        <v>1752.827</v>
      </c>
      <c r="N782" s="182">
        <v>117567.11999999998</v>
      </c>
      <c r="O782" s="180">
        <f>N782/60</f>
        <v>1959.4519999999998</v>
      </c>
      <c r="P782" s="182">
        <v>85229.8</v>
      </c>
      <c r="Q782" s="180">
        <f>P782/60</f>
        <v>1420.4966666666667</v>
      </c>
      <c r="R782" s="182">
        <v>103154.16000000003</v>
      </c>
      <c r="S782" s="470">
        <f>R782/60</f>
        <v>1719.2360000000006</v>
      </c>
      <c r="T782" s="183"/>
      <c r="U782" s="184">
        <f>T782/60</f>
        <v>0</v>
      </c>
      <c r="V782" s="182"/>
      <c r="W782" s="184">
        <f>V782/60</f>
        <v>0</v>
      </c>
      <c r="X782" s="182"/>
      <c r="Y782" s="184">
        <f>X782/60</f>
        <v>0</v>
      </c>
      <c r="Z782" s="182"/>
      <c r="AA782" s="184">
        <f>Z782/60</f>
        <v>0</v>
      </c>
      <c r="AC782" s="337" t="s">
        <v>582</v>
      </c>
      <c r="AD782" s="337" t="s">
        <v>242</v>
      </c>
      <c r="AE782" s="339">
        <v>1680.99</v>
      </c>
      <c r="AF782" s="337">
        <v>53</v>
      </c>
    </row>
    <row r="783" spans="1:36" ht="17.399999999999999" x14ac:dyDescent="0.35">
      <c r="A783" s="511"/>
      <c r="B783" s="358">
        <v>110051</v>
      </c>
      <c r="C783" s="178" t="s">
        <v>276</v>
      </c>
      <c r="D783" s="372">
        <v>55925.482000000004</v>
      </c>
      <c r="E783" s="281">
        <f t="shared" ref="E783:E784" si="156">D783/60</f>
        <v>932.09136666666677</v>
      </c>
      <c r="F783" s="372">
        <v>110164.546</v>
      </c>
      <c r="G783" s="281">
        <f>F783/60</f>
        <v>1836.0757666666666</v>
      </c>
      <c r="H783" s="372">
        <v>96142.494999999995</v>
      </c>
      <c r="I783" s="281">
        <f>H783/60</f>
        <v>1602.3749166666666</v>
      </c>
      <c r="J783" s="372">
        <v>86890.055999999953</v>
      </c>
      <c r="K783" s="180">
        <f>J783/60</f>
        <v>1448.1675999999993</v>
      </c>
      <c r="L783" s="179">
        <v>55339.536</v>
      </c>
      <c r="M783" s="424">
        <f>L783/60</f>
        <v>922.32560000000001</v>
      </c>
      <c r="N783" s="182">
        <v>90048.565999999992</v>
      </c>
      <c r="O783" s="180">
        <f>N783/60</f>
        <v>1500.8094333333331</v>
      </c>
      <c r="P783" s="182">
        <v>42958.061000000016</v>
      </c>
      <c r="Q783" s="180">
        <f>P783/60</f>
        <v>715.96768333333364</v>
      </c>
      <c r="R783" s="182">
        <v>77784.64800000003</v>
      </c>
      <c r="S783" s="470">
        <f>R783/60</f>
        <v>1296.4108000000006</v>
      </c>
      <c r="T783" s="183"/>
      <c r="U783" s="184">
        <f>T783/60</f>
        <v>0</v>
      </c>
      <c r="V783" s="182"/>
      <c r="W783" s="184">
        <f>V783/60</f>
        <v>0</v>
      </c>
      <c r="X783" s="182"/>
      <c r="Y783" s="184">
        <f>X783/60</f>
        <v>0</v>
      </c>
      <c r="Z783" s="182"/>
      <c r="AA783" s="184">
        <f>Z783/60</f>
        <v>0</v>
      </c>
      <c r="AC783" s="337" t="s">
        <v>394</v>
      </c>
      <c r="AD783" s="337" t="s">
        <v>242</v>
      </c>
      <c r="AE783" s="337">
        <v>325.10000000000002</v>
      </c>
      <c r="AF783" s="337">
        <v>10</v>
      </c>
    </row>
    <row r="784" spans="1:36" ht="17.399999999999999" x14ac:dyDescent="0.35">
      <c r="A784" s="511"/>
      <c r="B784" s="358">
        <v>110015</v>
      </c>
      <c r="C784" s="178" t="s">
        <v>278</v>
      </c>
      <c r="D784" s="372">
        <v>66273.13</v>
      </c>
      <c r="E784" s="281">
        <f t="shared" si="156"/>
        <v>1104.5521666666668</v>
      </c>
      <c r="F784" s="372">
        <v>119406.5</v>
      </c>
      <c r="G784" s="281">
        <f t="shared" ref="G784" si="157">F784/60</f>
        <v>1990.1083333333333</v>
      </c>
      <c r="H784" s="372">
        <v>137329.85</v>
      </c>
      <c r="I784" s="308"/>
      <c r="J784" s="372">
        <v>104297.36000000003</v>
      </c>
      <c r="K784" s="185"/>
      <c r="L784" s="179">
        <v>79732.549999999959</v>
      </c>
      <c r="M784" s="425"/>
      <c r="N784" s="182">
        <v>94269.630000000019</v>
      </c>
      <c r="O784" s="185"/>
      <c r="P784" s="182">
        <v>71867.299999999988</v>
      </c>
      <c r="Q784" s="185"/>
      <c r="R784" s="182">
        <v>87225.159999999931</v>
      </c>
      <c r="S784" s="471"/>
      <c r="T784" s="183"/>
      <c r="U784" s="185"/>
      <c r="V784" s="182"/>
      <c r="W784" s="185"/>
      <c r="X784" s="182"/>
      <c r="Y784" s="185"/>
      <c r="Z784" s="182"/>
      <c r="AA784" s="185"/>
      <c r="AC784" s="337" t="s">
        <v>396</v>
      </c>
      <c r="AD784" s="337" t="s">
        <v>242</v>
      </c>
      <c r="AE784" s="337">
        <v>280</v>
      </c>
      <c r="AF784" s="337">
        <v>5</v>
      </c>
    </row>
    <row r="785" spans="1:32" ht="17.399999999999999" x14ac:dyDescent="0.35">
      <c r="A785" s="511"/>
      <c r="B785" s="358">
        <v>110011</v>
      </c>
      <c r="C785" s="178" t="s">
        <v>281</v>
      </c>
      <c r="D785" s="372">
        <v>36110.400000000001</v>
      </c>
      <c r="E785" s="281">
        <f>D785/60</f>
        <v>601.84</v>
      </c>
      <c r="F785" s="372">
        <v>56314.400000000001</v>
      </c>
      <c r="G785" s="281">
        <f>F785/60</f>
        <v>938.57333333333338</v>
      </c>
      <c r="H785" s="372">
        <v>63351.4</v>
      </c>
      <c r="I785" s="308"/>
      <c r="J785" s="372">
        <v>52454.400000000009</v>
      </c>
      <c r="K785" s="185"/>
      <c r="L785" s="179">
        <v>45019.400000000023</v>
      </c>
      <c r="M785" s="425"/>
      <c r="N785" s="182">
        <v>51801.000000000022</v>
      </c>
      <c r="O785" s="185"/>
      <c r="P785" s="182">
        <v>34880.000000000015</v>
      </c>
      <c r="Q785" s="185"/>
      <c r="R785" s="182">
        <v>45400.200000000004</v>
      </c>
      <c r="S785" s="471"/>
      <c r="T785" s="183"/>
      <c r="U785" s="185"/>
      <c r="V785" s="182"/>
      <c r="W785" s="185"/>
      <c r="X785" s="182"/>
      <c r="Y785" s="185"/>
      <c r="Z785" s="182"/>
      <c r="AA785" s="185"/>
      <c r="AC785" s="337" t="s">
        <v>397</v>
      </c>
      <c r="AD785" s="337" t="s">
        <v>242</v>
      </c>
      <c r="AE785" s="339">
        <v>1942.8</v>
      </c>
      <c r="AF785" s="337">
        <v>32</v>
      </c>
    </row>
    <row r="786" spans="1:32" ht="17.399999999999999" x14ac:dyDescent="0.35">
      <c r="A786" s="511"/>
      <c r="B786" s="358"/>
      <c r="C786" s="178" t="s">
        <v>283</v>
      </c>
      <c r="D786" s="206">
        <f>SUM(D784:D785)</f>
        <v>102383.53</v>
      </c>
      <c r="E786" s="281">
        <f>D786/60</f>
        <v>1706.3921666666668</v>
      </c>
      <c r="F786" s="206">
        <v>175720.9</v>
      </c>
      <c r="G786" s="281">
        <v>2928.6816666666664</v>
      </c>
      <c r="H786" s="206">
        <f>SUM(H784:H785)</f>
        <v>200681.25</v>
      </c>
      <c r="I786" s="281">
        <f>H786/60</f>
        <v>3344.6875</v>
      </c>
      <c r="J786" s="206">
        <f>SUM(J784:J785)</f>
        <v>156751.76000000004</v>
      </c>
      <c r="K786" s="180">
        <f t="shared" ref="K786" si="158">J786/60</f>
        <v>2612.5293333333339</v>
      </c>
      <c r="L786" s="206">
        <f>SUM(L784:L785)</f>
        <v>124751.94999999998</v>
      </c>
      <c r="M786" s="424">
        <f t="shared" ref="M786" si="159">L786/60</f>
        <v>2079.1991666666663</v>
      </c>
      <c r="N786" s="206">
        <f>SUM(N784:N785)</f>
        <v>146070.63000000003</v>
      </c>
      <c r="O786" s="180">
        <f t="shared" ref="O786:O787" si="160">N786/60</f>
        <v>2434.5105000000008</v>
      </c>
      <c r="P786" s="206">
        <f>SUM(P784:P785)</f>
        <v>106747.3</v>
      </c>
      <c r="Q786" s="180">
        <f t="shared" ref="Q786:Q792" si="161">P786/60</f>
        <v>1779.1216666666667</v>
      </c>
      <c r="R786" s="206">
        <f>SUM(R784:R785)</f>
        <v>132625.35999999993</v>
      </c>
      <c r="S786" s="470">
        <f t="shared" ref="S786" si="162">R786/60</f>
        <v>2210.4226666666655</v>
      </c>
      <c r="T786" s="465">
        <f>SUM(T784:T785)</f>
        <v>0</v>
      </c>
      <c r="U786" s="180">
        <f t="shared" ref="U786" si="163">T786/60</f>
        <v>0</v>
      </c>
      <c r="V786" s="206">
        <f>SUM(V784:V785)</f>
        <v>0</v>
      </c>
      <c r="W786" s="180">
        <f t="shared" ref="W786" si="164">V786/60</f>
        <v>0</v>
      </c>
      <c r="X786" s="206">
        <f>SUM(X784:X785)</f>
        <v>0</v>
      </c>
      <c r="Y786" s="180">
        <f t="shared" ref="Y786" si="165">X786/60</f>
        <v>0</v>
      </c>
      <c r="Z786" s="206">
        <f>SUM(Z784:Z785)</f>
        <v>0</v>
      </c>
      <c r="AA786" s="180">
        <f t="shared" ref="AA786" si="166">Z786/60</f>
        <v>0</v>
      </c>
      <c r="AC786" s="337" t="s">
        <v>398</v>
      </c>
      <c r="AD786" s="337" t="s">
        <v>242</v>
      </c>
      <c r="AE786" s="337">
        <v>90</v>
      </c>
      <c r="AF786" s="337">
        <v>5</v>
      </c>
    </row>
    <row r="787" spans="1:32" ht="17.399999999999999" x14ac:dyDescent="0.35">
      <c r="A787" s="511"/>
      <c r="B787" s="358">
        <v>1104100</v>
      </c>
      <c r="C787" s="178" t="s">
        <v>19</v>
      </c>
      <c r="D787" s="206"/>
      <c r="E787" s="281"/>
      <c r="F787" s="206"/>
      <c r="G787" s="281"/>
      <c r="H787" s="206"/>
      <c r="I787" s="281"/>
      <c r="J787" s="206"/>
      <c r="K787" s="180"/>
      <c r="L787" s="206"/>
      <c r="M787" s="424"/>
      <c r="N787" s="179">
        <v>116230.9040000005</v>
      </c>
      <c r="O787" s="180">
        <f t="shared" si="160"/>
        <v>1937.1817333333418</v>
      </c>
      <c r="P787" s="179">
        <v>85454.155999999886</v>
      </c>
      <c r="Q787" s="180">
        <f t="shared" si="161"/>
        <v>1424.2359333333313</v>
      </c>
      <c r="R787" s="179">
        <v>122121.84200000011</v>
      </c>
      <c r="S787" s="470">
        <f>R787/60</f>
        <v>2035.3640333333351</v>
      </c>
      <c r="T787" s="187"/>
      <c r="U787" s="180"/>
      <c r="V787" s="187"/>
      <c r="W787" s="180"/>
      <c r="X787" s="187"/>
      <c r="Y787" s="180"/>
      <c r="Z787" s="187"/>
      <c r="AA787" s="180"/>
      <c r="AC787" s="337" t="s">
        <v>743</v>
      </c>
      <c r="AD787" s="337" t="s">
        <v>242</v>
      </c>
      <c r="AE787" s="339">
        <v>614</v>
      </c>
      <c r="AF787" s="337">
        <v>23</v>
      </c>
    </row>
    <row r="788" spans="1:32" ht="17.399999999999999" x14ac:dyDescent="0.35">
      <c r="A788" s="511"/>
      <c r="B788" s="358">
        <v>110030</v>
      </c>
      <c r="C788" s="188" t="s">
        <v>285</v>
      </c>
      <c r="D788" s="372">
        <v>74921.38</v>
      </c>
      <c r="E788" s="205">
        <f t="shared" ref="E788:E792" si="167">D788/60</f>
        <v>1248.6896666666667</v>
      </c>
      <c r="F788" s="372">
        <v>61195.6</v>
      </c>
      <c r="G788" s="205">
        <f>F788/60</f>
        <v>1019.9266666666666</v>
      </c>
      <c r="H788" s="372">
        <v>60659.64</v>
      </c>
      <c r="I788" s="205">
        <f t="shared" ref="I788:I792" si="168">H788/60</f>
        <v>1010.994</v>
      </c>
      <c r="J788" s="372">
        <v>55162.520000000004</v>
      </c>
      <c r="K788" s="205">
        <f>J788/60</f>
        <v>919.3753333333334</v>
      </c>
      <c r="L788" s="179">
        <v>26240.46</v>
      </c>
      <c r="M788" s="426">
        <f t="shared" ref="M788:M792" si="169">L788/60</f>
        <v>437.34100000000001</v>
      </c>
      <c r="N788" s="182">
        <v>60933.45</v>
      </c>
      <c r="O788" s="189">
        <f>N788/60</f>
        <v>1015.5575</v>
      </c>
      <c r="P788" s="182">
        <v>28610.699999999997</v>
      </c>
      <c r="Q788" s="189">
        <f t="shared" si="161"/>
        <v>476.84499999999997</v>
      </c>
      <c r="R788" s="182">
        <v>51124.909999999989</v>
      </c>
      <c r="S788" s="472">
        <f t="shared" ref="S788:S792" si="170">R788/60</f>
        <v>852.08183333333318</v>
      </c>
      <c r="T788" s="183"/>
      <c r="U788" s="189">
        <f t="shared" ref="U788:U792" si="171">T788/60</f>
        <v>0</v>
      </c>
      <c r="V788" s="182"/>
      <c r="W788" s="189">
        <f t="shared" ref="W788:W792" si="172">V788/60</f>
        <v>0</v>
      </c>
      <c r="X788" s="182"/>
      <c r="Y788" s="189">
        <f t="shared" ref="Y788:Y792" si="173">X788/60</f>
        <v>0</v>
      </c>
      <c r="Z788" s="187"/>
      <c r="AA788" s="189">
        <f t="shared" ref="AA788:AA792" si="174">Z788/60</f>
        <v>0</v>
      </c>
      <c r="AC788" s="337" t="s">
        <v>744</v>
      </c>
      <c r="AD788" s="337" t="s">
        <v>242</v>
      </c>
      <c r="AE788" s="337">
        <v>302.25</v>
      </c>
      <c r="AF788" s="337">
        <v>6</v>
      </c>
    </row>
    <row r="789" spans="1:32" ht="17.399999999999999" x14ac:dyDescent="0.35">
      <c r="A789" s="511"/>
      <c r="B789" s="358">
        <v>110100</v>
      </c>
      <c r="C789" s="188" t="s">
        <v>287</v>
      </c>
      <c r="D789" s="372">
        <v>125435</v>
      </c>
      <c r="E789" s="205">
        <f t="shared" si="167"/>
        <v>2090.5833333333335</v>
      </c>
      <c r="F789" s="372">
        <v>186939</v>
      </c>
      <c r="G789" s="205">
        <f t="shared" ref="G789:G792" si="175">F789/60</f>
        <v>3115.65</v>
      </c>
      <c r="H789" s="372">
        <v>210877</v>
      </c>
      <c r="I789" s="205">
        <f t="shared" si="168"/>
        <v>3514.6166666666668</v>
      </c>
      <c r="J789" s="372">
        <v>187053</v>
      </c>
      <c r="K789" s="189">
        <f t="shared" ref="K789:K792" si="176">J789/60</f>
        <v>3117.55</v>
      </c>
      <c r="L789" s="179">
        <v>177392</v>
      </c>
      <c r="M789" s="426">
        <f t="shared" si="169"/>
        <v>2956.5333333333333</v>
      </c>
      <c r="N789" s="182">
        <v>209404</v>
      </c>
      <c r="O789" s="189">
        <f>N789/60</f>
        <v>3490.0666666666666</v>
      </c>
      <c r="P789" s="182">
        <v>143101</v>
      </c>
      <c r="Q789" s="189">
        <f t="shared" si="161"/>
        <v>2385.0166666666669</v>
      </c>
      <c r="R789" s="182">
        <v>183022</v>
      </c>
      <c r="S789" s="472">
        <f t="shared" si="170"/>
        <v>3050.3666666666668</v>
      </c>
      <c r="T789" s="183"/>
      <c r="U789" s="189">
        <f t="shared" si="171"/>
        <v>0</v>
      </c>
      <c r="V789" s="182"/>
      <c r="W789" s="189">
        <f t="shared" si="172"/>
        <v>0</v>
      </c>
      <c r="X789" s="182"/>
      <c r="Y789" s="189">
        <f t="shared" si="173"/>
        <v>0</v>
      </c>
      <c r="Z789" s="182"/>
      <c r="AA789" s="189">
        <f t="shared" si="174"/>
        <v>0</v>
      </c>
      <c r="AC789" s="337" t="s">
        <v>746</v>
      </c>
      <c r="AD789" s="337" t="s">
        <v>242</v>
      </c>
      <c r="AE789" s="339">
        <v>506.98</v>
      </c>
      <c r="AF789" s="337">
        <v>7</v>
      </c>
    </row>
    <row r="790" spans="1:32" ht="17.399999999999999" x14ac:dyDescent="0.35">
      <c r="A790" s="511"/>
      <c r="B790" s="358">
        <v>110110</v>
      </c>
      <c r="C790" s="190" t="s">
        <v>289</v>
      </c>
      <c r="D790" s="372">
        <v>291894</v>
      </c>
      <c r="E790" s="205">
        <f t="shared" si="167"/>
        <v>4864.8999999999996</v>
      </c>
      <c r="F790" s="372">
        <v>468510</v>
      </c>
      <c r="G790" s="205">
        <f t="shared" si="175"/>
        <v>7808.5</v>
      </c>
      <c r="H790" s="372">
        <v>561192</v>
      </c>
      <c r="I790" s="309">
        <f t="shared" si="168"/>
        <v>9353.2000000000007</v>
      </c>
      <c r="J790" s="372">
        <v>491073</v>
      </c>
      <c r="K790" s="193">
        <f t="shared" si="176"/>
        <v>8184.55</v>
      </c>
      <c r="L790" s="192">
        <v>389975</v>
      </c>
      <c r="M790" s="427">
        <f t="shared" si="169"/>
        <v>6499.583333333333</v>
      </c>
      <c r="N790" s="191">
        <v>479958</v>
      </c>
      <c r="O790" s="193">
        <f>N790/60</f>
        <v>7999.3</v>
      </c>
      <c r="P790" s="191">
        <v>321909</v>
      </c>
      <c r="Q790" s="193">
        <f t="shared" si="161"/>
        <v>5365.15</v>
      </c>
      <c r="R790" s="191">
        <v>463339</v>
      </c>
      <c r="S790" s="472">
        <f t="shared" si="170"/>
        <v>7722.3166666666666</v>
      </c>
      <c r="T790" s="195"/>
      <c r="U790" s="193">
        <f t="shared" si="171"/>
        <v>0</v>
      </c>
      <c r="V790" s="191"/>
      <c r="W790" s="193">
        <f t="shared" si="172"/>
        <v>0</v>
      </c>
      <c r="X790" s="191"/>
      <c r="Y790" s="193">
        <f t="shared" si="173"/>
        <v>0</v>
      </c>
      <c r="Z790" s="191"/>
      <c r="AA790" s="193">
        <f t="shared" si="174"/>
        <v>0</v>
      </c>
      <c r="AC790" s="337" t="s">
        <v>748</v>
      </c>
      <c r="AD790" s="337" t="s">
        <v>242</v>
      </c>
      <c r="AE790" s="337">
        <v>114.02</v>
      </c>
      <c r="AF790" s="337">
        <v>4</v>
      </c>
    </row>
    <row r="791" spans="1:32" ht="17.399999999999999" x14ac:dyDescent="0.35">
      <c r="A791" s="511"/>
      <c r="B791" s="358">
        <v>110060</v>
      </c>
      <c r="C791" s="190" t="s">
        <v>291</v>
      </c>
      <c r="D791" s="372">
        <v>31265.64</v>
      </c>
      <c r="E791" s="205">
        <f t="shared" si="167"/>
        <v>521.09399999999994</v>
      </c>
      <c r="F791" s="372">
        <v>51495.199999999997</v>
      </c>
      <c r="G791" s="205">
        <f t="shared" si="175"/>
        <v>858.25333333333333</v>
      </c>
      <c r="H791" s="372">
        <v>61745.94</v>
      </c>
      <c r="I791" s="309">
        <f t="shared" si="168"/>
        <v>1029.0989999999999</v>
      </c>
      <c r="J791" s="372">
        <v>44311.280000000021</v>
      </c>
      <c r="K791" s="193">
        <f t="shared" si="176"/>
        <v>738.5213333333337</v>
      </c>
      <c r="L791" s="179">
        <v>40948.400000000009</v>
      </c>
      <c r="M791" s="427">
        <f t="shared" si="169"/>
        <v>682.47333333333347</v>
      </c>
      <c r="N791" s="179">
        <v>47734.840000000026</v>
      </c>
      <c r="O791" s="193">
        <f>N791/60</f>
        <v>795.58066666666707</v>
      </c>
      <c r="P791" s="179">
        <v>34554.699999999968</v>
      </c>
      <c r="Q791" s="193">
        <f t="shared" si="161"/>
        <v>575.91166666666618</v>
      </c>
      <c r="R791" s="179">
        <v>45918.89999999998</v>
      </c>
      <c r="S791" s="472">
        <f t="shared" si="170"/>
        <v>765.31499999999971</v>
      </c>
      <c r="T791" s="466"/>
      <c r="U791" s="193">
        <f t="shared" si="171"/>
        <v>0</v>
      </c>
      <c r="V791" s="343"/>
      <c r="W791" s="193">
        <f t="shared" si="172"/>
        <v>0</v>
      </c>
      <c r="X791" s="359"/>
      <c r="Y791" s="360">
        <f t="shared" si="173"/>
        <v>0</v>
      </c>
      <c r="Z791" s="359"/>
      <c r="AA791" s="189">
        <f t="shared" si="174"/>
        <v>0</v>
      </c>
      <c r="AC791" s="337" t="s">
        <v>275</v>
      </c>
      <c r="AD791" s="337" t="s">
        <v>242</v>
      </c>
      <c r="AE791" s="339">
        <v>368.4</v>
      </c>
      <c r="AF791" s="337">
        <v>10</v>
      </c>
    </row>
    <row r="792" spans="1:32" ht="18" thickBot="1" x14ac:dyDescent="0.4">
      <c r="A792" s="511"/>
      <c r="B792" s="361">
        <v>110111</v>
      </c>
      <c r="C792" s="371" t="s">
        <v>292</v>
      </c>
      <c r="D792" s="373">
        <v>70826</v>
      </c>
      <c r="E792" s="310">
        <f t="shared" si="167"/>
        <v>1180.4333333333334</v>
      </c>
      <c r="F792" s="373">
        <v>74846</v>
      </c>
      <c r="G792" s="310">
        <f t="shared" si="175"/>
        <v>1247.4333333333334</v>
      </c>
      <c r="H792" s="373">
        <v>117541</v>
      </c>
      <c r="I792" s="310">
        <f t="shared" si="168"/>
        <v>1959.0166666666667</v>
      </c>
      <c r="J792" s="373">
        <v>91449</v>
      </c>
      <c r="K792" s="198">
        <f t="shared" si="176"/>
        <v>1524.15</v>
      </c>
      <c r="L792" s="197">
        <v>90315</v>
      </c>
      <c r="M792" s="428">
        <f t="shared" si="169"/>
        <v>1505.25</v>
      </c>
      <c r="N792" s="197">
        <v>125456</v>
      </c>
      <c r="O792" s="198">
        <f>N792/60</f>
        <v>2090.9333333333334</v>
      </c>
      <c r="P792" s="197">
        <v>94479</v>
      </c>
      <c r="Q792" s="198">
        <f t="shared" si="161"/>
        <v>1574.65</v>
      </c>
      <c r="R792" s="197">
        <v>100620</v>
      </c>
      <c r="S792" s="473">
        <f t="shared" si="170"/>
        <v>1677</v>
      </c>
      <c r="T792" s="467"/>
      <c r="U792" s="198">
        <f t="shared" si="171"/>
        <v>0</v>
      </c>
      <c r="V792" s="200"/>
      <c r="W792" s="198">
        <f t="shared" si="172"/>
        <v>0</v>
      </c>
      <c r="X792" s="200"/>
      <c r="Y792" s="202">
        <f t="shared" si="173"/>
        <v>0</v>
      </c>
      <c r="Z792" s="200"/>
      <c r="AA792" s="198">
        <f t="shared" si="174"/>
        <v>0</v>
      </c>
      <c r="AC792" s="337" t="s">
        <v>372</v>
      </c>
      <c r="AD792" s="337" t="s">
        <v>431</v>
      </c>
      <c r="AE792" s="337">
        <v>0</v>
      </c>
      <c r="AF792" s="337">
        <v>8</v>
      </c>
    </row>
    <row r="793" spans="1:32" x14ac:dyDescent="0.3">
      <c r="A793" s="511"/>
      <c r="B793" s="93"/>
      <c r="C793" s="93"/>
      <c r="D793" s="93"/>
      <c r="E793" s="93"/>
      <c r="F793" s="286"/>
      <c r="G793" s="93"/>
      <c r="H793" s="208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252"/>
      <c r="U793" s="93"/>
      <c r="V793" s="93"/>
      <c r="W793" s="93"/>
      <c r="X793" s="93"/>
      <c r="Y793" s="93"/>
      <c r="Z793" s="93"/>
      <c r="AA793" s="93"/>
    </row>
    <row r="794" spans="1:32" x14ac:dyDescent="0.3">
      <c r="A794" s="511"/>
      <c r="B794" s="93"/>
      <c r="C794" s="93"/>
      <c r="D794" s="93"/>
      <c r="E794" s="93"/>
      <c r="F794" s="286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252"/>
      <c r="U794" s="93"/>
      <c r="V794" s="93"/>
      <c r="W794" s="93"/>
      <c r="X794" s="93"/>
      <c r="Y794" s="93"/>
      <c r="Z794" s="93"/>
      <c r="AA794" s="93"/>
    </row>
    <row r="795" spans="1:32" x14ac:dyDescent="0.3">
      <c r="A795" s="511"/>
      <c r="B795" s="93"/>
      <c r="F795" s="90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252"/>
      <c r="U795" s="93"/>
      <c r="V795" s="93"/>
      <c r="W795" s="93"/>
      <c r="X795" s="93"/>
      <c r="Y795" s="93"/>
      <c r="Z795" s="93"/>
      <c r="AA795" s="93"/>
    </row>
    <row r="796" spans="1:32" ht="15" thickBot="1" x14ac:dyDescent="0.35">
      <c r="A796" s="511"/>
      <c r="B796" s="93"/>
      <c r="F796" s="369"/>
      <c r="G796" s="419"/>
      <c r="H796" s="252"/>
      <c r="I796" s="93"/>
      <c r="J796" s="379"/>
      <c r="K796" s="380"/>
      <c r="N796" s="93"/>
      <c r="O796" s="93"/>
      <c r="P796" s="93"/>
      <c r="Q796" s="93"/>
      <c r="R796" s="463"/>
      <c r="S796" s="464"/>
      <c r="T796" s="252"/>
      <c r="U796" s="463"/>
      <c r="V796" s="464"/>
      <c r="W796" s="380"/>
      <c r="X796" s="93"/>
      <c r="Y796" s="93"/>
      <c r="Z796" s="93"/>
      <c r="AA796" s="93"/>
    </row>
    <row r="797" spans="1:32" ht="17.399999999999999" x14ac:dyDescent="0.35">
      <c r="A797" s="511"/>
      <c r="B797" s="93"/>
      <c r="F797" s="369"/>
      <c r="G797" s="419"/>
      <c r="H797" s="252"/>
      <c r="I797" s="93"/>
      <c r="O797" s="302"/>
      <c r="P797" s="357">
        <v>110012</v>
      </c>
      <c r="Q797" s="463">
        <v>713426.96000000031</v>
      </c>
      <c r="R797" s="357" t="s">
        <v>1080</v>
      </c>
      <c r="S797" s="464">
        <v>-45400.200000000004</v>
      </c>
      <c r="T797" s="252" t="s">
        <v>1080</v>
      </c>
      <c r="V797" s="464"/>
      <c r="W797" s="380"/>
      <c r="X797" s="93"/>
      <c r="Y797" s="93"/>
      <c r="Z797" s="93"/>
      <c r="AA797" s="93"/>
    </row>
    <row r="798" spans="1:32" ht="17.399999999999999" x14ac:dyDescent="0.35">
      <c r="A798" s="511"/>
      <c r="B798" s="93"/>
      <c r="D798" s="440"/>
      <c r="F798" s="369"/>
      <c r="G798" s="419"/>
      <c r="H798" s="252"/>
      <c r="O798" s="369"/>
      <c r="P798" s="412">
        <v>1104111</v>
      </c>
      <c r="Q798" s="463">
        <v>103076.80000000005</v>
      </c>
      <c r="R798" s="412" t="s">
        <v>1081</v>
      </c>
      <c r="S798" s="90">
        <v>-713426.96000000031</v>
      </c>
      <c r="T798" s="252"/>
      <c r="U798" s="463"/>
      <c r="V798" s="464"/>
      <c r="W798" s="380"/>
      <c r="X798" s="93"/>
      <c r="Y798" s="93"/>
      <c r="Z798" s="93"/>
      <c r="AA798" s="93"/>
    </row>
    <row r="799" spans="1:32" ht="17.399999999999999" x14ac:dyDescent="0.35">
      <c r="A799" s="511"/>
      <c r="B799" s="93"/>
      <c r="D799" s="440"/>
      <c r="F799" s="369"/>
      <c r="G799" s="419"/>
      <c r="H799" s="252"/>
      <c r="I799" s="93"/>
      <c r="O799" s="369"/>
      <c r="P799" s="412">
        <v>1104110</v>
      </c>
      <c r="Q799" s="463">
        <v>139.28</v>
      </c>
      <c r="R799" s="412" t="s">
        <v>1082</v>
      </c>
      <c r="S799" s="464">
        <v>-87225.159999999931</v>
      </c>
      <c r="T799" s="93" t="s">
        <v>1082</v>
      </c>
      <c r="V799" s="464"/>
      <c r="W799" s="380"/>
      <c r="X799" s="93"/>
      <c r="Y799" s="93"/>
      <c r="Z799" s="93"/>
      <c r="AA799" s="93"/>
    </row>
    <row r="800" spans="1:32" ht="17.399999999999999" x14ac:dyDescent="0.35">
      <c r="A800" s="511"/>
      <c r="B800" s="93"/>
      <c r="D800" s="441"/>
      <c r="F800" s="369"/>
      <c r="G800" s="419"/>
      <c r="H800" s="252"/>
      <c r="I800" s="93"/>
      <c r="O800" s="369"/>
      <c r="P800" s="412">
        <v>1104112</v>
      </c>
      <c r="Q800" s="463">
        <v>6341.0300000000007</v>
      </c>
      <c r="R800" s="412" t="s">
        <v>975</v>
      </c>
      <c r="S800" s="464">
        <v>-51124.909999999989</v>
      </c>
      <c r="T800" s="93" t="s">
        <v>975</v>
      </c>
      <c r="V800" s="464"/>
      <c r="W800" s="380"/>
      <c r="X800" s="93"/>
      <c r="Y800" s="93"/>
      <c r="Z800" s="93"/>
      <c r="AA800" s="93"/>
    </row>
    <row r="801" spans="1:27" ht="17.399999999999999" x14ac:dyDescent="0.35">
      <c r="A801" s="511"/>
      <c r="B801" s="93"/>
      <c r="D801" s="440"/>
      <c r="F801" s="369"/>
      <c r="G801" s="419"/>
      <c r="H801" s="252"/>
      <c r="J801" s="370"/>
      <c r="K801" s="93"/>
      <c r="O801" s="369"/>
      <c r="P801" s="412">
        <v>1104211</v>
      </c>
      <c r="Q801" s="463">
        <v>94243</v>
      </c>
      <c r="R801" s="412" t="s">
        <v>1083</v>
      </c>
      <c r="S801" s="464">
        <v>-103154.16000000003</v>
      </c>
      <c r="T801" s="93" t="s">
        <v>1083</v>
      </c>
      <c r="V801" s="464"/>
      <c r="W801" s="380"/>
      <c r="X801" s="93"/>
      <c r="Y801" s="93"/>
      <c r="Z801" s="93"/>
      <c r="AA801" s="93"/>
    </row>
    <row r="802" spans="1:27" ht="17.399999999999999" x14ac:dyDescent="0.35">
      <c r="A802" s="511"/>
      <c r="B802" s="93"/>
      <c r="D802" s="440"/>
      <c r="F802" s="369"/>
      <c r="G802" s="419"/>
      <c r="H802" s="252"/>
      <c r="I802" s="93"/>
      <c r="O802" s="369"/>
      <c r="P802" s="412">
        <v>1104210</v>
      </c>
      <c r="Q802" s="463">
        <v>212838.56</v>
      </c>
      <c r="R802" s="412" t="s">
        <v>1084</v>
      </c>
      <c r="S802" s="464">
        <v>-77784.64800000003</v>
      </c>
      <c r="T802" s="93" t="s">
        <v>1084</v>
      </c>
      <c r="V802" s="464"/>
      <c r="W802" s="380"/>
      <c r="X802" s="93"/>
      <c r="Y802" s="93"/>
      <c r="Z802" s="93"/>
      <c r="AA802" s="93"/>
    </row>
    <row r="803" spans="1:27" ht="17.399999999999999" x14ac:dyDescent="0.35">
      <c r="A803" s="511"/>
      <c r="B803" s="93"/>
      <c r="D803" s="440"/>
      <c r="F803" s="369"/>
      <c r="G803" s="419"/>
      <c r="H803" s="252"/>
      <c r="N803" s="93"/>
      <c r="O803" s="369"/>
      <c r="P803" s="412">
        <v>1104212</v>
      </c>
      <c r="Q803" s="463">
        <v>26868.030000000002</v>
      </c>
      <c r="R803" s="412" t="s">
        <v>1085</v>
      </c>
      <c r="S803" s="464">
        <v>-45918.89999999998</v>
      </c>
      <c r="T803" s="93" t="s">
        <v>1085</v>
      </c>
      <c r="V803" s="93"/>
      <c r="W803" s="380"/>
      <c r="X803" s="93"/>
      <c r="Y803" s="93"/>
      <c r="Z803" s="93"/>
      <c r="AA803" s="93"/>
    </row>
    <row r="804" spans="1:27" ht="17.399999999999999" x14ac:dyDescent="0.35">
      <c r="A804" s="511"/>
      <c r="B804" s="93"/>
      <c r="F804" s="90"/>
      <c r="H804" s="302"/>
      <c r="N804" s="93"/>
      <c r="O804" s="369"/>
      <c r="P804" s="412"/>
      <c r="Q804" s="464"/>
      <c r="R804" s="412" t="s">
        <v>976</v>
      </c>
      <c r="S804" s="464">
        <v>-183022</v>
      </c>
      <c r="T804" s="93" t="s">
        <v>976</v>
      </c>
      <c r="V804" s="464"/>
      <c r="W804" s="380"/>
      <c r="X804" s="93"/>
      <c r="Y804" s="93"/>
      <c r="Z804" s="93"/>
      <c r="AA804" s="93"/>
    </row>
    <row r="805" spans="1:27" ht="17.399999999999999" x14ac:dyDescent="0.35">
      <c r="A805" s="511"/>
      <c r="B805" s="93"/>
      <c r="F805" s="369"/>
      <c r="G805" s="419"/>
      <c r="H805" s="252"/>
      <c r="I805" s="93"/>
      <c r="N805" s="93"/>
      <c r="O805" s="369"/>
      <c r="P805" s="412">
        <v>1104200</v>
      </c>
      <c r="Q805" s="463">
        <v>31661.340000000026</v>
      </c>
      <c r="R805" s="412" t="s">
        <v>1086</v>
      </c>
      <c r="S805" s="464">
        <v>-463339</v>
      </c>
      <c r="T805" s="93" t="s">
        <v>1086</v>
      </c>
      <c r="V805" s="464"/>
      <c r="W805" s="380"/>
      <c r="X805" s="93"/>
      <c r="Y805" s="93"/>
      <c r="Z805" s="93"/>
      <c r="AA805" s="93"/>
    </row>
    <row r="806" spans="1:27" ht="17.399999999999999" x14ac:dyDescent="0.35">
      <c r="A806" s="511"/>
      <c r="B806" s="93"/>
      <c r="F806" s="369"/>
      <c r="G806" s="419"/>
      <c r="H806" s="252"/>
      <c r="I806" s="93"/>
      <c r="N806" s="93"/>
      <c r="O806" s="369"/>
      <c r="P806" s="358">
        <v>110050</v>
      </c>
      <c r="Q806" s="463">
        <f>-S801</f>
        <v>103154.16000000003</v>
      </c>
      <c r="R806" s="358" t="s">
        <v>1087</v>
      </c>
      <c r="S806" s="464">
        <v>-100620</v>
      </c>
      <c r="T806" s="93" t="s">
        <v>1087</v>
      </c>
      <c r="V806" s="464"/>
      <c r="W806" s="380"/>
      <c r="X806" s="93"/>
      <c r="Y806" s="93"/>
      <c r="Z806" s="93"/>
      <c r="AA806" s="93"/>
    </row>
    <row r="807" spans="1:27" ht="17.399999999999999" x14ac:dyDescent="0.35">
      <c r="A807" s="511"/>
      <c r="B807" s="93"/>
      <c r="F807" s="369"/>
      <c r="G807" s="419"/>
      <c r="H807" s="252"/>
      <c r="I807" s="93"/>
      <c r="N807" s="93"/>
      <c r="O807" s="369"/>
      <c r="P807" s="358">
        <v>110051</v>
      </c>
      <c r="Q807" s="463">
        <v>77784.64800000003</v>
      </c>
      <c r="R807" s="358" t="s">
        <v>1088</v>
      </c>
      <c r="S807" s="464">
        <v>-122121.84200000011</v>
      </c>
      <c r="T807" s="93" t="s">
        <v>1088</v>
      </c>
      <c r="V807" s="464"/>
      <c r="W807" s="380"/>
      <c r="X807" s="93"/>
      <c r="Y807" s="93"/>
      <c r="Z807" s="93"/>
      <c r="AA807" s="93"/>
    </row>
    <row r="808" spans="1:27" ht="17.399999999999999" x14ac:dyDescent="0.35">
      <c r="A808" s="511"/>
      <c r="B808" s="93"/>
      <c r="F808" s="369"/>
      <c r="G808" s="419"/>
      <c r="H808" s="252"/>
      <c r="I808" s="93"/>
      <c r="O808" s="369"/>
      <c r="P808" s="358">
        <v>110015</v>
      </c>
      <c r="Q808" s="463">
        <f>-S799</f>
        <v>87225.159999999931</v>
      </c>
      <c r="R808" s="358" t="s">
        <v>1089</v>
      </c>
      <c r="S808" s="464">
        <v>-139.28</v>
      </c>
      <c r="T808" s="93" t="s">
        <v>1089</v>
      </c>
      <c r="V808" s="464"/>
      <c r="W808" s="380"/>
      <c r="X808" s="93"/>
      <c r="Y808" s="93"/>
      <c r="Z808" s="93"/>
      <c r="AA808" s="93"/>
    </row>
    <row r="809" spans="1:27" ht="17.399999999999999" x14ac:dyDescent="0.35">
      <c r="A809" s="511"/>
      <c r="B809" s="93"/>
      <c r="F809" s="369"/>
      <c r="G809" s="419"/>
      <c r="H809" s="252"/>
      <c r="I809" s="93"/>
      <c r="O809" s="369"/>
      <c r="P809" s="358">
        <v>110011</v>
      </c>
      <c r="Q809" s="463">
        <f>-S797</f>
        <v>45400.200000000004</v>
      </c>
      <c r="R809" s="358" t="s">
        <v>1090</v>
      </c>
      <c r="S809" s="464">
        <v>-103076.80000000005</v>
      </c>
      <c r="T809" s="93" t="s">
        <v>1090</v>
      </c>
      <c r="V809" s="380"/>
      <c r="W809" s="380"/>
      <c r="X809" s="93"/>
      <c r="Y809" s="93"/>
      <c r="Z809" s="93"/>
      <c r="AA809" s="93"/>
    </row>
    <row r="810" spans="1:27" ht="17.399999999999999" x14ac:dyDescent="0.35">
      <c r="A810" s="511"/>
      <c r="B810" s="93"/>
      <c r="F810" s="369"/>
      <c r="G810" s="419"/>
      <c r="H810" s="252"/>
      <c r="I810" s="93"/>
      <c r="N810" s="93"/>
      <c r="O810" s="369"/>
      <c r="P810" s="358"/>
      <c r="Q810" s="93"/>
      <c r="R810" s="358" t="s">
        <v>1091</v>
      </c>
      <c r="S810" s="464">
        <v>-6341.0300000000007</v>
      </c>
      <c r="T810" s="93" t="s">
        <v>1091</v>
      </c>
      <c r="V810" s="464"/>
      <c r="W810" s="380"/>
      <c r="X810" s="93"/>
      <c r="Y810" s="93"/>
      <c r="Z810" s="93"/>
      <c r="AA810" s="93"/>
    </row>
    <row r="811" spans="1:27" ht="17.399999999999999" x14ac:dyDescent="0.35">
      <c r="A811" s="511"/>
      <c r="B811" s="93"/>
      <c r="C811" s="93"/>
      <c r="D811" s="93"/>
      <c r="E811" s="93"/>
      <c r="F811" s="369"/>
      <c r="G811" s="419"/>
      <c r="H811" s="252"/>
      <c r="I811" s="93"/>
      <c r="O811" s="369"/>
      <c r="P811" s="358">
        <v>1104100</v>
      </c>
      <c r="Q811" s="463">
        <v>122121.84200000011</v>
      </c>
      <c r="R811" s="358" t="s">
        <v>1092</v>
      </c>
      <c r="S811" s="464">
        <v>-31661.340000000026</v>
      </c>
      <c r="T811" s="93" t="s">
        <v>1092</v>
      </c>
      <c r="V811" s="464"/>
      <c r="W811" s="380"/>
      <c r="X811" s="93"/>
      <c r="Y811" s="93"/>
      <c r="Z811" s="93"/>
      <c r="AA811" s="93"/>
    </row>
    <row r="812" spans="1:27" ht="17.399999999999999" x14ac:dyDescent="0.35">
      <c r="A812" s="511"/>
      <c r="B812" s="93"/>
      <c r="C812" s="93"/>
      <c r="D812" s="93"/>
      <c r="E812" s="93"/>
      <c r="F812" s="286"/>
      <c r="G812" s="93"/>
      <c r="H812" s="252"/>
      <c r="I812" s="93"/>
      <c r="J812" s="93"/>
      <c r="K812" s="93"/>
      <c r="O812" s="369"/>
      <c r="P812" s="358">
        <v>110030</v>
      </c>
      <c r="Q812" s="463">
        <f>-S800</f>
        <v>51124.909999999989</v>
      </c>
      <c r="R812" s="358" t="s">
        <v>1093</v>
      </c>
      <c r="S812" s="464">
        <v>-212838.56</v>
      </c>
      <c r="T812" s="93" t="s">
        <v>1093</v>
      </c>
      <c r="V812" s="464"/>
      <c r="W812" s="380"/>
      <c r="X812" s="93"/>
      <c r="Y812" s="93"/>
      <c r="Z812" s="93"/>
      <c r="AA812" s="93"/>
    </row>
    <row r="813" spans="1:27" ht="17.399999999999999" x14ac:dyDescent="0.35">
      <c r="A813" s="511"/>
      <c r="B813" s="93"/>
      <c r="C813" s="93"/>
      <c r="D813" s="93"/>
      <c r="E813" s="93"/>
      <c r="F813" s="90"/>
      <c r="H813" s="302"/>
      <c r="I813" s="93"/>
      <c r="J813" s="93"/>
      <c r="K813" s="93"/>
      <c r="O813" s="369"/>
      <c r="P813" s="358">
        <v>110100</v>
      </c>
      <c r="Q813" s="463">
        <v>183022</v>
      </c>
      <c r="R813" s="358" t="s">
        <v>1094</v>
      </c>
      <c r="S813" s="464">
        <v>-94243</v>
      </c>
      <c r="T813" s="93" t="s">
        <v>1094</v>
      </c>
      <c r="V813" s="464"/>
      <c r="W813" s="380"/>
      <c r="X813" s="93"/>
      <c r="Y813" s="93"/>
      <c r="Z813" s="93"/>
      <c r="AA813" s="93"/>
    </row>
    <row r="814" spans="1:27" ht="17.399999999999999" x14ac:dyDescent="0.35">
      <c r="A814" s="511"/>
      <c r="B814" s="93"/>
      <c r="C814" s="93"/>
      <c r="D814" s="93"/>
      <c r="E814" s="93"/>
      <c r="F814" s="90"/>
      <c r="H814" s="302"/>
      <c r="I814" s="93"/>
      <c r="J814" s="93"/>
      <c r="K814" s="93"/>
      <c r="L814" s="93"/>
      <c r="O814" s="369"/>
      <c r="P814" s="358">
        <v>110110</v>
      </c>
      <c r="Q814" s="463">
        <v>463339</v>
      </c>
      <c r="R814" s="358" t="s">
        <v>1095</v>
      </c>
      <c r="S814" s="464">
        <v>-26868.030000000002</v>
      </c>
      <c r="T814" s="93" t="s">
        <v>1095</v>
      </c>
      <c r="V814" s="464"/>
      <c r="W814" s="380"/>
      <c r="X814" s="93"/>
      <c r="Y814" s="93"/>
      <c r="Z814" s="93"/>
      <c r="AA814" s="93"/>
    </row>
    <row r="815" spans="1:27" ht="17.399999999999999" x14ac:dyDescent="0.35">
      <c r="A815" s="511"/>
      <c r="B815" s="93"/>
      <c r="C815" s="93"/>
      <c r="D815" s="93"/>
      <c r="E815" s="93"/>
      <c r="F815" s="90"/>
      <c r="H815" s="302"/>
      <c r="I815" s="93"/>
      <c r="J815" s="93"/>
      <c r="K815" s="93"/>
      <c r="L815" s="93"/>
      <c r="O815" s="369"/>
      <c r="P815" s="358">
        <v>110060</v>
      </c>
      <c r="Q815" s="463">
        <v>45918.89999999998</v>
      </c>
      <c r="R815" s="463"/>
      <c r="S815" s="464"/>
      <c r="T815" s="93"/>
      <c r="U815" s="463">
        <f t="shared" ref="U815:U816" si="177">-S815</f>
        <v>0</v>
      </c>
      <c r="V815" s="464"/>
      <c r="W815" s="380"/>
      <c r="X815" s="93"/>
      <c r="Y815" s="93"/>
      <c r="Z815" s="93"/>
      <c r="AA815" s="93"/>
    </row>
    <row r="816" spans="1:27" ht="18" thickBot="1" x14ac:dyDescent="0.4">
      <c r="A816" s="511"/>
      <c r="B816" s="93"/>
      <c r="C816" s="93"/>
      <c r="D816" s="93"/>
      <c r="E816" s="93"/>
      <c r="F816" s="90"/>
      <c r="H816" s="302"/>
      <c r="I816" s="93"/>
      <c r="J816" s="93"/>
      <c r="K816" s="93"/>
      <c r="L816" s="93"/>
      <c r="O816" s="369"/>
      <c r="P816" s="361">
        <v>110111</v>
      </c>
      <c r="Q816" s="463">
        <v>100620</v>
      </c>
      <c r="T816" s="93"/>
      <c r="U816" s="463">
        <f t="shared" si="177"/>
        <v>0</v>
      </c>
      <c r="V816" s="93"/>
      <c r="W816" s="93"/>
      <c r="X816" s="93"/>
      <c r="Y816" s="93"/>
      <c r="Z816" s="93"/>
      <c r="AA816" s="93"/>
    </row>
    <row r="817" spans="1:37" x14ac:dyDescent="0.3">
      <c r="A817" s="511"/>
      <c r="B817" s="93"/>
      <c r="C817" s="93"/>
      <c r="D817" s="93"/>
      <c r="E817" s="93"/>
      <c r="F817" s="286"/>
      <c r="G817" s="93"/>
      <c r="H817" s="252"/>
      <c r="I817" s="93"/>
      <c r="J817" s="93"/>
      <c r="K817" s="93"/>
      <c r="L817" s="93"/>
      <c r="O817" s="369"/>
      <c r="P817" s="419"/>
      <c r="Q817" s="93"/>
      <c r="T817" s="93"/>
      <c r="U817" s="93"/>
      <c r="V817" s="93"/>
      <c r="W817" s="93"/>
      <c r="X817" s="93"/>
      <c r="Y817" s="93"/>
      <c r="Z817" s="93"/>
      <c r="AA817" s="93"/>
    </row>
    <row r="818" spans="1:37" ht="15" thickBot="1" x14ac:dyDescent="0.35">
      <c r="A818" s="512"/>
      <c r="B818" s="96"/>
      <c r="C818" s="96"/>
      <c r="D818" s="96"/>
      <c r="E818" s="96"/>
      <c r="F818" s="295"/>
      <c r="G818" s="96"/>
      <c r="H818" s="421"/>
      <c r="I818" s="96"/>
      <c r="J818" s="96"/>
      <c r="K818" s="96"/>
      <c r="L818" s="96"/>
      <c r="M818" s="96"/>
      <c r="N818" s="96"/>
      <c r="O818" s="96"/>
      <c r="P818" s="96"/>
      <c r="Q818" s="96"/>
      <c r="T818" s="96"/>
      <c r="U818" s="96"/>
      <c r="V818" s="96"/>
      <c r="W818" s="96"/>
      <c r="X818" s="96"/>
      <c r="Y818" s="96"/>
      <c r="Z818" s="96"/>
      <c r="AA818" s="96"/>
      <c r="AB818" s="96"/>
      <c r="AG818" s="96"/>
      <c r="AH818" s="96"/>
      <c r="AI818" s="96"/>
      <c r="AJ818" s="96"/>
      <c r="AK818" s="362"/>
    </row>
    <row r="819" spans="1:37" ht="24" thickBot="1" x14ac:dyDescent="0.35">
      <c r="A819" s="510" t="s">
        <v>1096</v>
      </c>
      <c r="B819" s="513" t="s">
        <v>156</v>
      </c>
      <c r="C819" s="514"/>
      <c r="D819" s="514"/>
      <c r="E819" s="515"/>
      <c r="F819" s="285"/>
      <c r="G819" s="513" t="s">
        <v>157</v>
      </c>
      <c r="H819" s="514"/>
      <c r="I819" s="514"/>
      <c r="J819" s="515"/>
      <c r="K819" s="246"/>
      <c r="L819" s="516" t="s">
        <v>158</v>
      </c>
      <c r="M819" s="517"/>
      <c r="N819" s="517"/>
      <c r="O819" s="518"/>
      <c r="P819" s="247"/>
      <c r="Q819" s="516" t="s">
        <v>159</v>
      </c>
      <c r="R819" s="517"/>
      <c r="S819" s="517"/>
      <c r="T819" s="518"/>
      <c r="U819" s="246"/>
      <c r="Z819" s="246"/>
      <c r="AA819" s="246"/>
      <c r="AC819" s="516" t="s">
        <v>161</v>
      </c>
      <c r="AD819" s="517"/>
      <c r="AE819" s="517"/>
      <c r="AF819" s="518"/>
      <c r="AH819" s="519" t="s">
        <v>161</v>
      </c>
      <c r="AI819" s="520"/>
      <c r="AJ819" s="520"/>
      <c r="AK819" s="521"/>
    </row>
    <row r="820" spans="1:37" x14ac:dyDescent="0.3">
      <c r="A820" s="511"/>
      <c r="B820" s="461" t="s">
        <v>454</v>
      </c>
      <c r="C820" s="335" t="s">
        <v>455</v>
      </c>
      <c r="D820" s="336">
        <v>49560</v>
      </c>
      <c r="E820" s="335">
        <v>15</v>
      </c>
      <c r="F820" s="286"/>
      <c r="G820" s="335" t="s">
        <v>981</v>
      </c>
      <c r="H820" s="335" t="s">
        <v>731</v>
      </c>
      <c r="I820" s="336">
        <v>603</v>
      </c>
      <c r="J820" s="335">
        <v>9</v>
      </c>
      <c r="K820" s="93"/>
      <c r="L820" s="335" t="s">
        <v>182</v>
      </c>
      <c r="M820" s="335" t="s">
        <v>165</v>
      </c>
      <c r="N820" s="382">
        <v>1170</v>
      </c>
      <c r="O820" s="335">
        <v>2</v>
      </c>
      <c r="P820" s="93"/>
      <c r="Q820" s="335" t="s">
        <v>196</v>
      </c>
      <c r="R820" s="335" t="s">
        <v>197</v>
      </c>
      <c r="S820" s="382">
        <v>1554.4</v>
      </c>
      <c r="T820" s="335">
        <v>2</v>
      </c>
      <c r="U820" s="93"/>
      <c r="Z820" s="93"/>
      <c r="AA820" s="93"/>
      <c r="AC820" s="335"/>
      <c r="AD820" s="335"/>
      <c r="AE820" s="335"/>
      <c r="AF820" s="335"/>
      <c r="AH820" s="337"/>
      <c r="AI820" s="337"/>
      <c r="AJ820" s="337"/>
      <c r="AK820" s="337"/>
    </row>
    <row r="821" spans="1:37" x14ac:dyDescent="0.3">
      <c r="A821" s="511"/>
      <c r="B821" s="91" t="s">
        <v>179</v>
      </c>
      <c r="C821" s="337" t="s">
        <v>162</v>
      </c>
      <c r="D821" s="338">
        <v>74106</v>
      </c>
      <c r="E821" s="337">
        <v>46</v>
      </c>
      <c r="F821" s="286"/>
      <c r="G821" s="337" t="s">
        <v>1097</v>
      </c>
      <c r="H821" s="337" t="s">
        <v>1098</v>
      </c>
      <c r="I821" s="338">
        <v>1282</v>
      </c>
      <c r="J821" s="337">
        <v>1</v>
      </c>
      <c r="K821" s="93"/>
      <c r="L821" s="337" t="s">
        <v>808</v>
      </c>
      <c r="M821" s="337" t="s">
        <v>165</v>
      </c>
      <c r="N821" s="339">
        <v>8775</v>
      </c>
      <c r="O821" s="337">
        <v>15</v>
      </c>
      <c r="P821" s="93"/>
      <c r="Q821" s="337" t="s">
        <v>201</v>
      </c>
      <c r="R821" s="337" t="s">
        <v>202</v>
      </c>
      <c r="S821" s="339">
        <v>1357.8</v>
      </c>
      <c r="T821" s="337">
        <v>2</v>
      </c>
      <c r="U821" s="93"/>
      <c r="Z821" s="93"/>
      <c r="AA821" s="93"/>
      <c r="AC821" s="337"/>
      <c r="AD821" s="337"/>
      <c r="AE821" s="337"/>
      <c r="AF821" s="337"/>
      <c r="AH821" s="337"/>
      <c r="AI821" s="337"/>
      <c r="AJ821" s="337"/>
      <c r="AK821" s="337"/>
    </row>
    <row r="822" spans="1:37" x14ac:dyDescent="0.3">
      <c r="A822" s="511"/>
      <c r="B822" s="91" t="s">
        <v>203</v>
      </c>
      <c r="C822" s="337" t="s">
        <v>806</v>
      </c>
      <c r="D822" s="338">
        <v>47273.1</v>
      </c>
      <c r="E822" s="337">
        <v>21</v>
      </c>
      <c r="F822" s="286"/>
      <c r="G822" s="337" t="s">
        <v>331</v>
      </c>
      <c r="H822" s="337" t="s">
        <v>181</v>
      </c>
      <c r="I822" s="338">
        <v>2640</v>
      </c>
      <c r="J822" s="337">
        <v>4</v>
      </c>
      <c r="K822" s="93"/>
      <c r="L822" s="337" t="s">
        <v>483</v>
      </c>
      <c r="M822" s="337" t="s">
        <v>165</v>
      </c>
      <c r="N822" s="339">
        <v>4095</v>
      </c>
      <c r="O822" s="337">
        <v>7</v>
      </c>
      <c r="P822" s="93"/>
      <c r="Q822" s="337" t="s">
        <v>1020</v>
      </c>
      <c r="R822" s="337" t="s">
        <v>159</v>
      </c>
      <c r="S822" s="339">
        <v>4491</v>
      </c>
      <c r="T822" s="337">
        <v>3</v>
      </c>
      <c r="U822" s="93"/>
      <c r="Z822" s="93"/>
      <c r="AA822" s="93"/>
      <c r="AC822" s="337"/>
      <c r="AD822" s="337"/>
      <c r="AE822" s="337"/>
      <c r="AF822" s="337"/>
      <c r="AH822" s="337"/>
      <c r="AI822" s="337"/>
      <c r="AJ822" s="337"/>
      <c r="AK822" s="337"/>
    </row>
    <row r="823" spans="1:37" x14ac:dyDescent="0.3">
      <c r="A823" s="511"/>
      <c r="B823" s="91" t="s">
        <v>807</v>
      </c>
      <c r="C823" s="337" t="s">
        <v>170</v>
      </c>
      <c r="D823" s="338">
        <v>1508.99</v>
      </c>
      <c r="E823" s="337">
        <v>1</v>
      </c>
      <c r="F823" s="286"/>
      <c r="G823" s="337" t="s">
        <v>564</v>
      </c>
      <c r="H823" s="337" t="s">
        <v>181</v>
      </c>
      <c r="I823" s="338">
        <v>64876</v>
      </c>
      <c r="J823" s="337">
        <v>28</v>
      </c>
      <c r="K823" s="93"/>
      <c r="L823" s="337" t="s">
        <v>164</v>
      </c>
      <c r="M823" s="337" t="s">
        <v>165</v>
      </c>
      <c r="N823" s="339">
        <v>9012</v>
      </c>
      <c r="O823" s="337">
        <v>12</v>
      </c>
      <c r="P823" s="93"/>
      <c r="Q823" s="337" t="s">
        <v>319</v>
      </c>
      <c r="R823" s="337" t="s">
        <v>320</v>
      </c>
      <c r="S823" s="339">
        <v>23864</v>
      </c>
      <c r="T823" s="337">
        <v>19</v>
      </c>
      <c r="U823" s="93"/>
      <c r="Z823" s="93"/>
      <c r="AA823" s="93"/>
      <c r="AC823" s="337"/>
      <c r="AD823" s="337"/>
      <c r="AE823" s="337"/>
      <c r="AF823" s="337"/>
      <c r="AH823" s="337"/>
      <c r="AI823" s="337"/>
      <c r="AJ823" s="337"/>
      <c r="AK823" s="337"/>
    </row>
    <row r="824" spans="1:37" x14ac:dyDescent="0.3">
      <c r="A824" s="511"/>
      <c r="B824" s="91" t="s">
        <v>334</v>
      </c>
      <c r="C824" s="337" t="s">
        <v>170</v>
      </c>
      <c r="D824" s="338">
        <v>3412.66</v>
      </c>
      <c r="E824" s="337">
        <v>2</v>
      </c>
      <c r="F824" s="286"/>
      <c r="G824" s="337" t="s">
        <v>325</v>
      </c>
      <c r="H824" s="337" t="s">
        <v>181</v>
      </c>
      <c r="I824" s="338">
        <v>19680</v>
      </c>
      <c r="J824" s="337">
        <v>12</v>
      </c>
      <c r="K824" s="93"/>
      <c r="L824" s="337" t="s">
        <v>322</v>
      </c>
      <c r="M824" s="337" t="s">
        <v>165</v>
      </c>
      <c r="N824" s="339">
        <v>3172</v>
      </c>
      <c r="O824" s="337">
        <v>4</v>
      </c>
      <c r="P824" s="93"/>
      <c r="Q824" s="337" t="s">
        <v>166</v>
      </c>
      <c r="R824" s="337" t="s">
        <v>167</v>
      </c>
      <c r="S824" s="339">
        <v>1497</v>
      </c>
      <c r="T824" s="337">
        <v>1</v>
      </c>
      <c r="U824" s="93"/>
      <c r="Z824" s="93"/>
      <c r="AA824" s="93"/>
      <c r="AC824" s="337"/>
      <c r="AD824" s="337"/>
      <c r="AE824" s="337"/>
      <c r="AF824" s="337"/>
      <c r="AH824" s="337"/>
      <c r="AI824" s="337"/>
      <c r="AJ824" s="339"/>
      <c r="AK824" s="337"/>
    </row>
    <row r="825" spans="1:37" x14ac:dyDescent="0.3">
      <c r="A825" s="511"/>
      <c r="B825" s="91" t="s">
        <v>194</v>
      </c>
      <c r="C825" s="337" t="s">
        <v>170</v>
      </c>
      <c r="D825" s="339">
        <v>1906.3</v>
      </c>
      <c r="E825" s="337">
        <v>1</v>
      </c>
      <c r="F825" s="286"/>
      <c r="G825" s="337" t="s">
        <v>177</v>
      </c>
      <c r="H825" s="337" t="s">
        <v>181</v>
      </c>
      <c r="I825" s="338">
        <v>23592</v>
      </c>
      <c r="J825" s="337">
        <v>12</v>
      </c>
      <c r="K825" s="93"/>
      <c r="L825" s="337" t="s">
        <v>185</v>
      </c>
      <c r="M825" s="337" t="s">
        <v>165</v>
      </c>
      <c r="N825" s="339">
        <v>18239</v>
      </c>
      <c r="O825" s="337">
        <v>23</v>
      </c>
      <c r="P825" s="93"/>
      <c r="Q825" s="337" t="s">
        <v>484</v>
      </c>
      <c r="R825" s="337" t="s">
        <v>174</v>
      </c>
      <c r="S825" s="339">
        <v>5150</v>
      </c>
      <c r="T825" s="337">
        <v>5</v>
      </c>
      <c r="U825" s="93"/>
      <c r="Z825" s="93"/>
      <c r="AA825" s="93"/>
      <c r="AC825" s="337"/>
      <c r="AD825" s="337"/>
      <c r="AE825" s="337"/>
      <c r="AF825" s="337"/>
      <c r="AH825" s="337"/>
      <c r="AI825" s="337"/>
      <c r="AJ825" s="339"/>
      <c r="AK825" s="337"/>
    </row>
    <row r="826" spans="1:37" x14ac:dyDescent="0.3">
      <c r="A826" s="511"/>
      <c r="B826" s="91" t="s">
        <v>200</v>
      </c>
      <c r="C826" s="337" t="s">
        <v>170</v>
      </c>
      <c r="D826" s="339">
        <v>1358</v>
      </c>
      <c r="E826" s="337">
        <v>1</v>
      </c>
      <c r="F826" s="311"/>
      <c r="G826" s="337" t="s">
        <v>163</v>
      </c>
      <c r="H826" s="337" t="s">
        <v>181</v>
      </c>
      <c r="I826" s="338">
        <v>73554</v>
      </c>
      <c r="J826" s="337">
        <v>46</v>
      </c>
      <c r="K826" s="93"/>
      <c r="L826" s="337" t="s">
        <v>963</v>
      </c>
      <c r="M826" s="337" t="s">
        <v>165</v>
      </c>
      <c r="N826" s="339">
        <v>968</v>
      </c>
      <c r="O826" s="337">
        <v>1</v>
      </c>
      <c r="P826" s="93"/>
      <c r="Q826" s="337" t="s">
        <v>173</v>
      </c>
      <c r="R826" s="337" t="s">
        <v>174</v>
      </c>
      <c r="S826" s="339">
        <v>10179</v>
      </c>
      <c r="T826" s="337">
        <v>9</v>
      </c>
      <c r="U826" s="93"/>
      <c r="Z826" s="93"/>
      <c r="AA826" s="93"/>
      <c r="AC826" s="337"/>
      <c r="AD826" s="337"/>
      <c r="AE826" s="337"/>
      <c r="AF826" s="337"/>
      <c r="AH826" s="337"/>
      <c r="AI826" s="337"/>
      <c r="AJ826" s="337"/>
      <c r="AK826" s="337"/>
    </row>
    <row r="827" spans="1:37" x14ac:dyDescent="0.3">
      <c r="A827" s="511"/>
      <c r="B827" s="91" t="s">
        <v>169</v>
      </c>
      <c r="C827" s="337" t="s">
        <v>170</v>
      </c>
      <c r="D827" s="339">
        <v>9583</v>
      </c>
      <c r="E827" s="337">
        <v>5</v>
      </c>
      <c r="F827" s="311"/>
      <c r="G827" s="337" t="s">
        <v>632</v>
      </c>
      <c r="H827" s="337" t="s">
        <v>181</v>
      </c>
      <c r="I827" s="338">
        <v>2521</v>
      </c>
      <c r="J827" s="337">
        <v>1</v>
      </c>
      <c r="K827" s="93"/>
      <c r="L827" s="337" t="s">
        <v>635</v>
      </c>
      <c r="M827" s="337" t="s">
        <v>165</v>
      </c>
      <c r="N827" s="339">
        <v>8722</v>
      </c>
      <c r="O827" s="337">
        <v>7</v>
      </c>
      <c r="P827" s="93"/>
      <c r="Q827" s="337" t="s">
        <v>1021</v>
      </c>
      <c r="R827" s="337" t="s">
        <v>174</v>
      </c>
      <c r="S827" s="339">
        <v>14684.16</v>
      </c>
      <c r="T827" s="337">
        <v>16</v>
      </c>
      <c r="U827" s="93"/>
      <c r="Z827" s="93"/>
      <c r="AA827" s="93"/>
      <c r="AC827" s="337"/>
      <c r="AD827" s="337"/>
      <c r="AE827" s="337"/>
      <c r="AF827" s="337"/>
      <c r="AH827" s="337"/>
      <c r="AI827" s="337"/>
      <c r="AJ827" s="337"/>
      <c r="AK827" s="337"/>
    </row>
    <row r="828" spans="1:37" x14ac:dyDescent="0.3">
      <c r="A828" s="511"/>
      <c r="B828" s="91" t="s">
        <v>980</v>
      </c>
      <c r="C828" s="337" t="s">
        <v>170</v>
      </c>
      <c r="D828" s="339">
        <v>7853.94</v>
      </c>
      <c r="E828" s="337">
        <v>6</v>
      </c>
      <c r="F828" s="286"/>
      <c r="G828" s="337" t="s">
        <v>195</v>
      </c>
      <c r="H828" s="337" t="s">
        <v>181</v>
      </c>
      <c r="I828" s="338">
        <v>7563</v>
      </c>
      <c r="J828" s="337">
        <v>3</v>
      </c>
      <c r="K828" s="93"/>
      <c r="L828" s="337" t="s">
        <v>1102</v>
      </c>
      <c r="M828" s="337" t="s">
        <v>165</v>
      </c>
      <c r="N828" s="339">
        <v>751</v>
      </c>
      <c r="O828" s="337">
        <v>1</v>
      </c>
      <c r="P828" s="93"/>
      <c r="Q828" s="337" t="s">
        <v>186</v>
      </c>
      <c r="R828" s="337" t="s">
        <v>174</v>
      </c>
      <c r="S828" s="339">
        <v>74640</v>
      </c>
      <c r="T828" s="337">
        <v>60</v>
      </c>
      <c r="U828" s="93"/>
      <c r="Z828" s="93"/>
      <c r="AA828" s="93"/>
      <c r="AC828" s="337"/>
      <c r="AD828" s="337"/>
      <c r="AE828" s="337"/>
      <c r="AF828" s="337"/>
      <c r="AH828" s="337"/>
      <c r="AI828" s="337"/>
      <c r="AJ828" s="337"/>
      <c r="AK828" s="337"/>
    </row>
    <row r="829" spans="1:37" x14ac:dyDescent="0.3">
      <c r="A829" s="511"/>
      <c r="B829" s="91" t="s">
        <v>627</v>
      </c>
      <c r="C829" s="337" t="s">
        <v>170</v>
      </c>
      <c r="D829" s="339">
        <v>5432</v>
      </c>
      <c r="E829" s="337">
        <v>4</v>
      </c>
      <c r="F829" s="286"/>
      <c r="G829" s="337" t="s">
        <v>982</v>
      </c>
      <c r="H829" s="337" t="s">
        <v>181</v>
      </c>
      <c r="I829" s="338">
        <v>31880</v>
      </c>
      <c r="J829" s="337">
        <v>8</v>
      </c>
      <c r="K829" s="93"/>
      <c r="L829" s="337" t="s">
        <v>1025</v>
      </c>
      <c r="M829" s="337" t="s">
        <v>1026</v>
      </c>
      <c r="N829" s="339">
        <v>1246</v>
      </c>
      <c r="O829" s="337">
        <v>1</v>
      </c>
      <c r="P829" s="93"/>
      <c r="Q829" s="337" t="s">
        <v>915</v>
      </c>
      <c r="R829" s="337" t="s">
        <v>174</v>
      </c>
      <c r="S829" s="339">
        <v>1256</v>
      </c>
      <c r="T829" s="337">
        <v>1</v>
      </c>
      <c r="U829" s="93"/>
      <c r="Z829" s="93"/>
      <c r="AA829" s="93"/>
      <c r="AC829" s="337"/>
      <c r="AD829" s="337"/>
      <c r="AE829" s="337"/>
      <c r="AF829" s="337"/>
      <c r="AH829" s="337"/>
      <c r="AI829" s="337"/>
      <c r="AJ829" s="337"/>
      <c r="AK829" s="337"/>
    </row>
    <row r="830" spans="1:37" x14ac:dyDescent="0.3">
      <c r="A830" s="511"/>
      <c r="B830" s="91" t="s">
        <v>482</v>
      </c>
      <c r="C830" s="337" t="s">
        <v>170</v>
      </c>
      <c r="D830" s="339">
        <v>24870</v>
      </c>
      <c r="E830" s="337">
        <v>6</v>
      </c>
      <c r="F830" s="286"/>
      <c r="G830" s="337" t="s">
        <v>1099</v>
      </c>
      <c r="H830" s="337" t="s">
        <v>181</v>
      </c>
      <c r="I830" s="338">
        <v>7563</v>
      </c>
      <c r="J830" s="337">
        <v>3</v>
      </c>
      <c r="K830" s="93"/>
      <c r="L830" s="337" t="s">
        <v>171</v>
      </c>
      <c r="M830" s="337" t="s">
        <v>172</v>
      </c>
      <c r="N830" s="339">
        <v>27036</v>
      </c>
      <c r="O830" s="337">
        <v>36</v>
      </c>
      <c r="P830" s="93"/>
      <c r="Q830" s="337" t="s">
        <v>637</v>
      </c>
      <c r="R830" s="337" t="s">
        <v>174</v>
      </c>
      <c r="S830" s="339">
        <v>28107</v>
      </c>
      <c r="T830" s="337">
        <v>9</v>
      </c>
      <c r="U830" s="93"/>
      <c r="Z830" s="93"/>
      <c r="AA830" s="93"/>
      <c r="AC830" s="337"/>
      <c r="AD830" s="337"/>
      <c r="AE830" s="337"/>
      <c r="AF830" s="337"/>
      <c r="AH830" s="337"/>
      <c r="AI830" s="337"/>
      <c r="AJ830" s="337"/>
      <c r="AK830" s="337"/>
    </row>
    <row r="831" spans="1:37" x14ac:dyDescent="0.3">
      <c r="A831" s="511"/>
      <c r="B831" s="91" t="s">
        <v>188</v>
      </c>
      <c r="C831" s="337" t="s">
        <v>170</v>
      </c>
      <c r="D831" s="339">
        <v>7092</v>
      </c>
      <c r="E831" s="337">
        <v>1</v>
      </c>
      <c r="F831" s="286"/>
      <c r="G831" s="337" t="s">
        <v>1100</v>
      </c>
      <c r="H831" s="337" t="s">
        <v>969</v>
      </c>
      <c r="I831" s="338">
        <v>913</v>
      </c>
      <c r="J831" s="337">
        <v>1</v>
      </c>
      <c r="K831" s="93"/>
      <c r="L831" s="337"/>
      <c r="M831" s="337"/>
      <c r="N831" s="339"/>
      <c r="O831" s="337"/>
      <c r="P831" s="93"/>
      <c r="Q831" s="337" t="s">
        <v>535</v>
      </c>
      <c r="R831" s="337" t="s">
        <v>174</v>
      </c>
      <c r="S831" s="339">
        <v>4696</v>
      </c>
      <c r="T831" s="337">
        <v>4</v>
      </c>
      <c r="U831" s="93"/>
      <c r="Z831" s="93"/>
      <c r="AA831" s="93"/>
      <c r="AC831" s="337"/>
      <c r="AD831" s="337"/>
      <c r="AE831" s="337"/>
      <c r="AF831" s="337"/>
      <c r="AH831" s="337"/>
      <c r="AI831" s="337"/>
      <c r="AJ831" s="337"/>
      <c r="AK831" s="337"/>
    </row>
    <row r="832" spans="1:37" x14ac:dyDescent="0.3">
      <c r="A832" s="511"/>
      <c r="B832" s="91" t="s">
        <v>550</v>
      </c>
      <c r="C832" s="337" t="s">
        <v>170</v>
      </c>
      <c r="D832" s="339">
        <v>49634</v>
      </c>
      <c r="E832" s="337">
        <v>7</v>
      </c>
      <c r="F832" s="286"/>
      <c r="G832" s="337" t="s">
        <v>1101</v>
      </c>
      <c r="H832" s="337" t="s">
        <v>969</v>
      </c>
      <c r="I832" s="338">
        <v>913</v>
      </c>
      <c r="J832" s="337">
        <v>1</v>
      </c>
      <c r="K832" s="93"/>
      <c r="L832" s="337"/>
      <c r="M832" s="337"/>
      <c r="N832" s="339"/>
      <c r="O832" s="337"/>
      <c r="P832" s="93"/>
      <c r="Q832" s="337" t="s">
        <v>485</v>
      </c>
      <c r="R832" s="337" t="s">
        <v>420</v>
      </c>
      <c r="S832" s="339">
        <v>12360</v>
      </c>
      <c r="T832" s="337">
        <v>12</v>
      </c>
      <c r="U832" s="93"/>
      <c r="X832" s="302"/>
      <c r="Z832" s="93"/>
      <c r="AA832" s="93"/>
      <c r="AC832" s="337"/>
      <c r="AD832" s="337"/>
      <c r="AE832" s="337"/>
      <c r="AF832" s="337"/>
      <c r="AH832" s="337"/>
      <c r="AI832" s="337"/>
      <c r="AJ832" s="339"/>
      <c r="AK832" s="337"/>
    </row>
    <row r="833" spans="1:37" x14ac:dyDescent="0.3">
      <c r="A833" s="511"/>
      <c r="B833" s="91" t="s">
        <v>445</v>
      </c>
      <c r="C833" s="337" t="s">
        <v>170</v>
      </c>
      <c r="D833" s="339">
        <v>31535</v>
      </c>
      <c r="E833" s="337">
        <v>17</v>
      </c>
      <c r="F833" s="286"/>
      <c r="G833" s="337"/>
      <c r="H833" s="337"/>
      <c r="I833" s="338"/>
      <c r="J833" s="337"/>
      <c r="K833" s="93"/>
      <c r="L833" s="337"/>
      <c r="M833" s="337"/>
      <c r="N833" s="339"/>
      <c r="O833" s="337"/>
      <c r="P833" s="93"/>
      <c r="Q833" s="337" t="s">
        <v>641</v>
      </c>
      <c r="R833" s="337" t="s">
        <v>423</v>
      </c>
      <c r="S833" s="339">
        <v>2062</v>
      </c>
      <c r="T833" s="337">
        <v>1</v>
      </c>
      <c r="U833" s="93"/>
      <c r="X833" s="302"/>
      <c r="Z833" s="93"/>
      <c r="AA833" s="93"/>
      <c r="AC833" s="337"/>
      <c r="AD833" s="337"/>
      <c r="AE833" s="337"/>
      <c r="AF833" s="337"/>
      <c r="AH833" s="337"/>
      <c r="AI833" s="337"/>
      <c r="AJ833" s="337"/>
      <c r="AK833" s="337"/>
    </row>
    <row r="834" spans="1:37" x14ac:dyDescent="0.3">
      <c r="A834" s="511"/>
      <c r="B834" s="91" t="s">
        <v>421</v>
      </c>
      <c r="C834" s="337" t="s">
        <v>170</v>
      </c>
      <c r="D834" s="339">
        <v>1603.3</v>
      </c>
      <c r="E834" s="337">
        <v>1</v>
      </c>
      <c r="F834" s="286"/>
      <c r="G834" s="337"/>
      <c r="H834" s="337"/>
      <c r="I834" s="339"/>
      <c r="J834" s="337"/>
      <c r="K834" s="93"/>
      <c r="L834" s="337"/>
      <c r="M834" s="337"/>
      <c r="N834" s="339">
        <v>2065.8100000003469</v>
      </c>
      <c r="O834" s="337"/>
      <c r="P834" s="93"/>
      <c r="Q834" s="337" t="s">
        <v>813</v>
      </c>
      <c r="R834" s="337" t="s">
        <v>423</v>
      </c>
      <c r="S834" s="339">
        <v>4140</v>
      </c>
      <c r="T834" s="337">
        <v>1</v>
      </c>
      <c r="U834" s="93"/>
      <c r="X834" s="302"/>
      <c r="Z834" s="93"/>
      <c r="AA834" s="93"/>
      <c r="AC834" s="337"/>
      <c r="AD834" s="337"/>
      <c r="AE834" s="337"/>
      <c r="AF834" s="337"/>
      <c r="AH834" s="337"/>
      <c r="AI834" s="337"/>
      <c r="AJ834" s="337"/>
      <c r="AK834" s="337"/>
    </row>
    <row r="835" spans="1:37" x14ac:dyDescent="0.3">
      <c r="A835" s="511"/>
      <c r="B835" s="91" t="s">
        <v>920</v>
      </c>
      <c r="C835" s="337" t="s">
        <v>170</v>
      </c>
      <c r="D835" s="339">
        <v>12568</v>
      </c>
      <c r="E835" s="337">
        <v>2</v>
      </c>
      <c r="F835" s="286"/>
      <c r="G835" s="337"/>
      <c r="H835" s="337"/>
      <c r="I835" s="339"/>
      <c r="J835" s="337"/>
      <c r="K835" s="93"/>
      <c r="L835" s="337"/>
      <c r="M835" s="337"/>
      <c r="N835" s="339"/>
      <c r="O835" s="337"/>
      <c r="P835" s="93"/>
      <c r="Q835" s="337" t="s">
        <v>209</v>
      </c>
      <c r="R835" s="337" t="s">
        <v>570</v>
      </c>
      <c r="S835" s="339">
        <v>2945</v>
      </c>
      <c r="T835" s="337">
        <v>1</v>
      </c>
      <c r="U835" s="93"/>
      <c r="X835" s="302"/>
      <c r="Z835" s="93"/>
      <c r="AA835" s="93"/>
      <c r="AC835" s="337"/>
      <c r="AD835" s="337"/>
      <c r="AE835" s="337"/>
      <c r="AF835" s="337"/>
      <c r="AH835" s="337"/>
      <c r="AI835" s="337"/>
      <c r="AJ835" s="337"/>
      <c r="AK835" s="337"/>
    </row>
    <row r="836" spans="1:37" x14ac:dyDescent="0.3">
      <c r="A836" s="511"/>
      <c r="F836" s="286"/>
      <c r="G836" s="93"/>
      <c r="H836" s="93"/>
      <c r="I836" s="93"/>
      <c r="J836" s="93"/>
      <c r="K836" s="93"/>
      <c r="L836" s="337"/>
      <c r="M836" s="337"/>
      <c r="N836" s="338"/>
      <c r="O836" s="337"/>
      <c r="P836" s="93"/>
      <c r="Q836" s="337" t="s">
        <v>918</v>
      </c>
      <c r="R836" s="337" t="s">
        <v>570</v>
      </c>
      <c r="S836" s="339">
        <v>3420</v>
      </c>
      <c r="T836" s="337">
        <v>1</v>
      </c>
      <c r="U836" s="93"/>
      <c r="X836" s="302"/>
      <c r="Z836" s="93"/>
      <c r="AA836" s="93"/>
      <c r="AC836" s="337"/>
      <c r="AD836" s="337"/>
      <c r="AE836" s="337"/>
      <c r="AF836" s="337"/>
      <c r="AH836" s="337"/>
      <c r="AI836" s="337"/>
      <c r="AJ836" s="337"/>
      <c r="AK836" s="337"/>
    </row>
    <row r="837" spans="1:37" x14ac:dyDescent="0.3">
      <c r="A837" s="511"/>
      <c r="B837" s="93"/>
      <c r="C837" s="93"/>
      <c r="F837" s="286"/>
      <c r="G837" s="93"/>
      <c r="H837" s="93"/>
      <c r="I837" s="93"/>
      <c r="J837" s="93"/>
      <c r="K837" s="93"/>
      <c r="L837" s="337"/>
      <c r="M837" s="337"/>
      <c r="N837" s="338"/>
      <c r="O837" s="337"/>
      <c r="P837" s="93"/>
      <c r="Q837" s="337" t="s">
        <v>642</v>
      </c>
      <c r="R837" s="337" t="s">
        <v>643</v>
      </c>
      <c r="S837" s="339">
        <v>4696</v>
      </c>
      <c r="T837" s="337">
        <v>4</v>
      </c>
      <c r="U837" s="93"/>
      <c r="X837" s="302"/>
      <c r="Z837" s="93"/>
      <c r="AA837" s="93"/>
      <c r="AC837" s="337"/>
      <c r="AD837" s="337"/>
      <c r="AE837" s="337"/>
      <c r="AF837" s="337"/>
      <c r="AH837" s="337"/>
      <c r="AI837" s="337"/>
      <c r="AJ837" s="337"/>
      <c r="AK837" s="337"/>
    </row>
    <row r="838" spans="1:37" x14ac:dyDescent="0.3">
      <c r="A838" s="511"/>
      <c r="B838" s="93"/>
      <c r="C838" s="93"/>
      <c r="D838" s="208"/>
      <c r="E838" s="93"/>
      <c r="F838" s="286"/>
      <c r="G838" s="93"/>
      <c r="H838" s="93"/>
      <c r="I838" s="93"/>
      <c r="J838" s="93"/>
      <c r="K838" s="93"/>
      <c r="L838" s="337"/>
      <c r="M838" s="337"/>
      <c r="N838" s="338"/>
      <c r="O838" s="337"/>
      <c r="P838" s="93"/>
      <c r="Q838" s="337"/>
      <c r="R838" s="337"/>
      <c r="S838" s="339"/>
      <c r="T838" s="337"/>
      <c r="U838" s="93"/>
      <c r="X838" s="302"/>
      <c r="Z838" s="93"/>
      <c r="AA838" s="93"/>
      <c r="AC838" s="337"/>
      <c r="AD838" s="337"/>
      <c r="AE838" s="337"/>
      <c r="AF838" s="337"/>
      <c r="AH838" s="337"/>
      <c r="AI838" s="337"/>
      <c r="AJ838" s="337"/>
      <c r="AK838" s="337"/>
    </row>
    <row r="839" spans="1:37" x14ac:dyDescent="0.3">
      <c r="A839" s="511"/>
      <c r="B839" s="93"/>
      <c r="C839" s="93"/>
      <c r="D839" s="208"/>
      <c r="E839" s="93"/>
      <c r="F839" s="286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337"/>
      <c r="R839" s="337"/>
      <c r="S839" s="339"/>
      <c r="T839" s="337"/>
      <c r="U839" s="93"/>
      <c r="X839" s="302"/>
      <c r="Z839" s="93"/>
      <c r="AA839" s="93"/>
      <c r="AC839" s="337"/>
      <c r="AD839" s="337"/>
      <c r="AE839" s="337"/>
      <c r="AF839" s="337"/>
      <c r="AH839" s="337"/>
      <c r="AI839" s="337"/>
      <c r="AJ839" s="337"/>
      <c r="AK839" s="337"/>
    </row>
    <row r="840" spans="1:37" x14ac:dyDescent="0.3">
      <c r="A840" s="511"/>
      <c r="B840" s="91"/>
      <c r="C840" s="337"/>
      <c r="D840" s="337"/>
      <c r="E840" s="337"/>
      <c r="F840" s="286"/>
      <c r="G840" s="93"/>
      <c r="H840" s="93"/>
      <c r="I840" s="93"/>
      <c r="J840" s="93"/>
      <c r="K840" s="93"/>
      <c r="P840" s="93"/>
      <c r="Q840" s="383"/>
      <c r="R840" s="383"/>
      <c r="S840" s="384"/>
      <c r="T840" s="383"/>
      <c r="U840" s="93"/>
      <c r="X840" s="302"/>
      <c r="Z840" s="93"/>
      <c r="AA840" s="93"/>
      <c r="AC840" s="337"/>
      <c r="AD840" s="337"/>
      <c r="AE840" s="337"/>
      <c r="AF840" s="337"/>
      <c r="AH840" s="337"/>
      <c r="AI840" s="337"/>
      <c r="AJ840" s="337"/>
      <c r="AK840" s="337"/>
    </row>
    <row r="841" spans="1:37" x14ac:dyDescent="0.3">
      <c r="A841" s="511"/>
      <c r="B841" s="91"/>
      <c r="C841" s="337"/>
      <c r="D841" s="337"/>
      <c r="E841" s="337"/>
      <c r="F841" s="286"/>
      <c r="G841" s="93"/>
      <c r="H841" s="93"/>
      <c r="I841" s="93"/>
      <c r="J841" s="93"/>
      <c r="K841" s="93"/>
      <c r="P841" s="93"/>
      <c r="Q841" s="337"/>
      <c r="R841" s="337"/>
      <c r="S841" s="338"/>
      <c r="T841" s="337"/>
      <c r="U841" s="93"/>
      <c r="X841" s="302"/>
      <c r="Z841" s="93"/>
      <c r="AA841" s="93"/>
      <c r="AC841" s="337"/>
      <c r="AD841" s="337"/>
      <c r="AE841" s="337"/>
      <c r="AF841" s="337"/>
      <c r="AH841" s="337"/>
      <c r="AI841" s="337"/>
      <c r="AJ841" s="337"/>
      <c r="AK841" s="337"/>
    </row>
    <row r="842" spans="1:37" x14ac:dyDescent="0.3">
      <c r="A842" s="511"/>
      <c r="B842" s="91"/>
      <c r="C842" s="337"/>
      <c r="D842" s="339"/>
      <c r="E842" s="337"/>
      <c r="F842" s="286"/>
      <c r="G842" s="93"/>
      <c r="H842" s="93"/>
      <c r="I842" s="93"/>
      <c r="J842" s="93"/>
      <c r="K842" s="93"/>
      <c r="P842" s="93"/>
      <c r="Q842" s="337"/>
      <c r="R842" s="337"/>
      <c r="S842" s="338"/>
      <c r="T842" s="337"/>
      <c r="U842" s="93"/>
      <c r="X842" s="302"/>
      <c r="Z842" s="93"/>
      <c r="AA842" s="93"/>
      <c r="AC842" s="337"/>
      <c r="AD842" s="337"/>
      <c r="AE842" s="337"/>
      <c r="AF842" s="337"/>
      <c r="AH842" s="337"/>
      <c r="AI842" s="337"/>
      <c r="AJ842" s="337"/>
      <c r="AK842" s="337"/>
    </row>
    <row r="843" spans="1:37" x14ac:dyDescent="0.3">
      <c r="A843" s="511"/>
      <c r="B843" s="93"/>
      <c r="C843" s="93"/>
      <c r="D843" s="208"/>
      <c r="E843" s="93"/>
      <c r="F843" s="286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337"/>
      <c r="R843" s="337"/>
      <c r="S843" s="338"/>
      <c r="T843" s="337"/>
      <c r="U843" s="93"/>
      <c r="Z843" s="93"/>
      <c r="AA843" s="93"/>
      <c r="AC843" s="337"/>
      <c r="AD843" s="337"/>
      <c r="AE843" s="337"/>
      <c r="AF843" s="337"/>
      <c r="AH843" s="337"/>
      <c r="AI843" s="337"/>
      <c r="AJ843" s="337"/>
      <c r="AK843" s="337"/>
    </row>
    <row r="844" spans="1:37" x14ac:dyDescent="0.3">
      <c r="A844" s="511"/>
      <c r="B844" s="93"/>
      <c r="C844" s="93"/>
      <c r="D844" s="93"/>
      <c r="E844" s="93"/>
      <c r="F844" s="286"/>
      <c r="G844" s="93"/>
      <c r="H844" s="93"/>
      <c r="I844" s="93"/>
      <c r="J844" s="93"/>
      <c r="K844" s="93"/>
      <c r="L844" s="93"/>
      <c r="M844" s="333"/>
      <c r="N844" s="334"/>
      <c r="O844" s="93"/>
      <c r="P844" s="93"/>
      <c r="Q844" s="93"/>
      <c r="R844" s="93"/>
      <c r="S844" s="93"/>
      <c r="T844" s="93"/>
      <c r="U844" s="93"/>
      <c r="Z844" s="93"/>
      <c r="AA844" s="93"/>
      <c r="AC844" s="337"/>
      <c r="AD844" s="337"/>
      <c r="AE844" s="337"/>
      <c r="AF844" s="337"/>
      <c r="AH844" s="337"/>
      <c r="AI844" s="337"/>
      <c r="AJ844" s="337"/>
      <c r="AK844" s="337"/>
    </row>
    <row r="845" spans="1:37" x14ac:dyDescent="0.3">
      <c r="A845" s="511"/>
      <c r="B845" s="93"/>
      <c r="C845" s="93"/>
      <c r="F845" s="286"/>
      <c r="G845" s="93"/>
      <c r="H845" s="93"/>
      <c r="I845" s="93"/>
      <c r="J845" s="93"/>
      <c r="K845" s="93"/>
      <c r="L845" s="93"/>
      <c r="M845" s="333"/>
      <c r="N845" s="334"/>
      <c r="O845" s="93"/>
      <c r="P845" s="93"/>
      <c r="Q845" s="93"/>
      <c r="R845" s="93"/>
      <c r="S845" s="93"/>
      <c r="T845" s="93"/>
      <c r="U845" s="93"/>
      <c r="Z845" s="93"/>
      <c r="AA845" s="93"/>
      <c r="AC845" s="337"/>
      <c r="AD845" s="337"/>
      <c r="AE845" s="339"/>
      <c r="AF845" s="337"/>
      <c r="AH845" s="337"/>
      <c r="AI845" s="337"/>
      <c r="AJ845" s="337"/>
      <c r="AK845" s="337"/>
    </row>
    <row r="846" spans="1:37" x14ac:dyDescent="0.3">
      <c r="A846" s="511"/>
      <c r="B846" s="93"/>
      <c r="C846" s="93"/>
      <c r="F846" s="286"/>
      <c r="G846" s="93"/>
      <c r="H846" s="93"/>
      <c r="I846" s="93"/>
      <c r="J846" s="93"/>
      <c r="K846" s="93"/>
      <c r="L846" s="93"/>
      <c r="M846" s="333"/>
      <c r="N846" s="334"/>
      <c r="O846" s="93"/>
      <c r="P846" s="93"/>
      <c r="Q846" s="93"/>
      <c r="R846" s="93"/>
      <c r="S846" s="93"/>
      <c r="T846" s="93"/>
      <c r="U846" s="93"/>
      <c r="Z846" s="93"/>
      <c r="AA846" s="93"/>
      <c r="AC846" s="337"/>
      <c r="AD846" s="337"/>
      <c r="AE846" s="337"/>
      <c r="AF846" s="337"/>
      <c r="AH846" s="337"/>
      <c r="AI846" s="337"/>
      <c r="AJ846" s="337"/>
      <c r="AK846" s="337"/>
    </row>
    <row r="847" spans="1:37" x14ac:dyDescent="0.3">
      <c r="A847" s="511"/>
      <c r="B847" s="93"/>
      <c r="C847" s="93"/>
      <c r="F847" s="286"/>
      <c r="G847" s="93"/>
      <c r="H847" s="93"/>
      <c r="I847" s="93"/>
      <c r="J847" s="93"/>
      <c r="K847" s="93"/>
      <c r="L847" s="93"/>
      <c r="M847" s="333"/>
      <c r="N847" s="334"/>
      <c r="O847" s="93"/>
      <c r="P847" s="93"/>
      <c r="Q847" s="93"/>
      <c r="R847" s="93"/>
      <c r="S847" s="93"/>
      <c r="T847" s="93"/>
      <c r="U847" s="93"/>
      <c r="Z847" s="93"/>
      <c r="AA847" s="93"/>
      <c r="AC847" s="337"/>
      <c r="AD847" s="337"/>
      <c r="AE847" s="337"/>
      <c r="AF847" s="337"/>
      <c r="AH847" s="337"/>
      <c r="AI847" s="337"/>
      <c r="AJ847" s="337"/>
      <c r="AK847" s="337"/>
    </row>
    <row r="848" spans="1:37" x14ac:dyDescent="0.3">
      <c r="A848" s="511"/>
      <c r="B848" s="93"/>
      <c r="C848" s="93"/>
      <c r="D848" s="94"/>
      <c r="F848" s="286"/>
      <c r="G848" s="93"/>
      <c r="H848" s="93"/>
      <c r="I848" s="93"/>
      <c r="J848" s="93"/>
      <c r="K848" s="93"/>
      <c r="L848" s="93"/>
      <c r="M848" s="333"/>
      <c r="N848" s="334"/>
      <c r="O848" s="93"/>
      <c r="P848" s="93"/>
      <c r="Q848" s="93"/>
      <c r="R848" s="93"/>
      <c r="S848" s="93"/>
      <c r="T848" s="93"/>
      <c r="U848" s="93"/>
      <c r="Z848" s="93"/>
      <c r="AA848" s="93"/>
      <c r="AC848" s="337"/>
      <c r="AD848" s="337"/>
      <c r="AE848" s="337"/>
      <c r="AF848" s="337"/>
      <c r="AH848" s="337"/>
      <c r="AI848" s="337"/>
      <c r="AJ848" s="337"/>
      <c r="AK848" s="337"/>
    </row>
    <row r="849" spans="1:37" x14ac:dyDescent="0.3">
      <c r="A849" s="511"/>
      <c r="B849" s="93"/>
      <c r="C849" s="93"/>
      <c r="F849" s="286"/>
      <c r="G849" s="93"/>
      <c r="H849" s="93"/>
      <c r="I849" s="93"/>
      <c r="J849" s="93"/>
      <c r="K849" s="93"/>
      <c r="L849" s="93"/>
      <c r="M849" s="333"/>
      <c r="N849" s="334"/>
      <c r="O849" s="93"/>
      <c r="P849" s="93"/>
      <c r="Q849" s="93"/>
      <c r="R849" s="93"/>
      <c r="S849" s="93"/>
      <c r="T849" s="93"/>
      <c r="U849" s="93"/>
      <c r="Z849" s="93"/>
      <c r="AA849" s="93"/>
      <c r="AC849" s="337"/>
      <c r="AD849" s="337"/>
      <c r="AE849" s="337"/>
      <c r="AF849" s="337"/>
      <c r="AH849" s="337"/>
      <c r="AI849" s="337"/>
      <c r="AJ849" s="337"/>
      <c r="AK849" s="337"/>
    </row>
    <row r="850" spans="1:37" x14ac:dyDescent="0.3">
      <c r="A850" s="511"/>
      <c r="B850" s="93"/>
      <c r="C850" s="93"/>
      <c r="D850" s="93"/>
      <c r="E850" s="93"/>
      <c r="F850" s="286"/>
      <c r="G850" s="93"/>
      <c r="H850" s="93"/>
      <c r="I850" s="93"/>
      <c r="J850" s="93"/>
      <c r="K850" s="93"/>
      <c r="L850" s="93"/>
      <c r="M850" s="333"/>
      <c r="N850" s="334"/>
      <c r="O850" s="93"/>
      <c r="P850" s="93"/>
      <c r="Q850" s="93"/>
      <c r="R850" s="93"/>
      <c r="S850" s="93"/>
      <c r="T850" s="93"/>
      <c r="U850" s="93"/>
      <c r="Z850" s="93"/>
      <c r="AA850" s="93"/>
      <c r="AC850" s="337"/>
      <c r="AD850" s="337"/>
      <c r="AE850" s="337"/>
      <c r="AF850" s="337"/>
      <c r="AH850" s="337"/>
      <c r="AI850" s="337"/>
      <c r="AJ850" s="337"/>
      <c r="AK850" s="337"/>
    </row>
    <row r="851" spans="1:37" x14ac:dyDescent="0.3">
      <c r="A851" s="511"/>
      <c r="B851" s="93"/>
      <c r="C851" s="93"/>
      <c r="D851" s="93"/>
      <c r="E851" s="93"/>
      <c r="F851" s="286"/>
      <c r="G851" s="93"/>
      <c r="H851" s="93"/>
      <c r="I851" s="93"/>
      <c r="J851" s="93"/>
      <c r="K851" s="93"/>
      <c r="L851" s="93"/>
      <c r="M851" s="333"/>
      <c r="N851" s="334"/>
      <c r="O851" s="93"/>
      <c r="P851" s="93"/>
      <c r="Q851" s="93"/>
      <c r="R851" s="93"/>
      <c r="S851" s="93"/>
      <c r="T851" s="93"/>
      <c r="U851" s="93"/>
      <c r="Z851" s="93"/>
      <c r="AA851" s="93"/>
      <c r="AC851" s="337"/>
      <c r="AD851" s="337"/>
      <c r="AE851" s="337"/>
      <c r="AF851" s="337"/>
      <c r="AH851" s="337"/>
      <c r="AI851" s="337"/>
      <c r="AJ851" s="337"/>
      <c r="AK851" s="337"/>
    </row>
    <row r="852" spans="1:37" x14ac:dyDescent="0.3">
      <c r="A852" s="511"/>
      <c r="B852" s="93"/>
      <c r="C852" s="93"/>
      <c r="D852" s="93"/>
      <c r="E852" s="93"/>
      <c r="F852" s="286"/>
      <c r="G852" s="93"/>
      <c r="H852" s="93"/>
      <c r="I852" s="93"/>
      <c r="J852" s="93"/>
      <c r="K852" s="93"/>
      <c r="L852" s="93"/>
      <c r="M852" s="333"/>
      <c r="N852" s="334"/>
      <c r="O852" s="93"/>
      <c r="P852" s="93"/>
      <c r="Q852" s="93"/>
      <c r="R852" s="93"/>
      <c r="S852" s="93"/>
      <c r="T852" s="93"/>
      <c r="U852" s="93"/>
      <c r="Z852" s="93"/>
      <c r="AA852" s="93"/>
      <c r="AC852" s="337"/>
      <c r="AD852" s="337"/>
      <c r="AE852" s="337"/>
      <c r="AF852" s="337"/>
      <c r="AH852" s="337"/>
      <c r="AI852" s="337"/>
      <c r="AJ852" s="337"/>
      <c r="AK852" s="337"/>
    </row>
    <row r="853" spans="1:37" x14ac:dyDescent="0.3">
      <c r="A853" s="511"/>
      <c r="B853" s="93"/>
      <c r="C853" s="93"/>
      <c r="D853" s="93"/>
      <c r="E853" s="93"/>
      <c r="F853" s="286"/>
      <c r="G853" s="93"/>
      <c r="H853" s="93"/>
      <c r="I853" s="93"/>
      <c r="J853" s="93"/>
      <c r="K853" s="93"/>
      <c r="L853" s="93"/>
      <c r="M853" s="333"/>
      <c r="N853" s="334"/>
      <c r="O853" s="93"/>
      <c r="P853" s="93"/>
      <c r="Q853" s="93"/>
      <c r="R853" s="93"/>
      <c r="S853" s="93"/>
      <c r="T853" s="93"/>
      <c r="U853" s="93"/>
      <c r="Z853" s="93"/>
      <c r="AA853" s="93"/>
      <c r="AC853" s="337"/>
      <c r="AD853" s="337"/>
      <c r="AE853" s="337"/>
      <c r="AF853" s="337"/>
      <c r="AH853" s="337"/>
      <c r="AI853" s="337"/>
      <c r="AJ853" s="337"/>
      <c r="AK853" s="337"/>
    </row>
    <row r="854" spans="1:37" x14ac:dyDescent="0.3">
      <c r="A854" s="511"/>
      <c r="B854" s="93"/>
      <c r="C854" s="93"/>
      <c r="D854" s="93"/>
      <c r="E854" s="93"/>
      <c r="F854" s="286"/>
      <c r="G854" s="93"/>
      <c r="H854" s="93"/>
      <c r="I854" s="93"/>
      <c r="J854" s="93"/>
      <c r="K854" s="93"/>
      <c r="L854" s="93"/>
      <c r="O854" s="93"/>
      <c r="P854" s="93"/>
      <c r="Q854" s="93"/>
      <c r="R854" s="93"/>
      <c r="S854" s="93"/>
      <c r="T854" s="93"/>
      <c r="U854" s="93"/>
      <c r="Z854" s="93"/>
      <c r="AA854" s="93"/>
      <c r="AC854" s="337"/>
      <c r="AD854" s="337"/>
      <c r="AE854" s="337"/>
      <c r="AF854" s="337"/>
      <c r="AH854" s="337"/>
      <c r="AI854" s="337"/>
      <c r="AJ854" s="337"/>
      <c r="AK854" s="337"/>
    </row>
    <row r="855" spans="1:37" x14ac:dyDescent="0.3">
      <c r="A855" s="511"/>
      <c r="B855" s="93"/>
      <c r="C855" s="93"/>
      <c r="D855" s="252"/>
      <c r="E855" s="93"/>
      <c r="F855" s="286"/>
      <c r="G855" s="93"/>
      <c r="H855" s="93"/>
      <c r="I855" s="93"/>
      <c r="J855" s="93"/>
      <c r="K855" s="93"/>
      <c r="L855" s="93"/>
      <c r="O855" s="93"/>
      <c r="P855" s="93"/>
      <c r="Q855" s="93"/>
      <c r="R855" s="93"/>
      <c r="S855" s="93"/>
      <c r="T855" s="93"/>
      <c r="U855" s="93"/>
      <c r="Z855" s="93"/>
      <c r="AA855" s="93"/>
      <c r="AC855" s="337"/>
      <c r="AD855" s="337"/>
      <c r="AE855" s="337"/>
      <c r="AF855" s="337"/>
      <c r="AH855" s="337"/>
      <c r="AI855" s="337"/>
      <c r="AJ855" s="337"/>
      <c r="AK855" s="337"/>
    </row>
    <row r="856" spans="1:37" x14ac:dyDescent="0.3">
      <c r="A856" s="511"/>
      <c r="B856" s="93"/>
      <c r="C856" s="93"/>
      <c r="D856" s="252"/>
      <c r="E856" s="93"/>
      <c r="F856" s="286"/>
      <c r="G856" s="93"/>
      <c r="H856" s="93"/>
      <c r="I856" s="93"/>
      <c r="J856" s="93"/>
      <c r="K856" s="93"/>
      <c r="L856" s="93"/>
      <c r="O856" s="93"/>
      <c r="P856" s="93"/>
      <c r="Q856" s="93"/>
      <c r="R856" s="93"/>
      <c r="S856" s="93"/>
      <c r="T856" s="93"/>
      <c r="U856" s="93"/>
      <c r="Z856" s="93"/>
      <c r="AA856" s="93"/>
      <c r="AC856" s="337"/>
      <c r="AD856" s="337"/>
      <c r="AE856" s="337"/>
      <c r="AF856" s="337"/>
      <c r="AH856" s="337"/>
      <c r="AI856" s="337"/>
      <c r="AJ856" s="337"/>
      <c r="AK856" s="337"/>
    </row>
    <row r="857" spans="1:37" x14ac:dyDescent="0.3">
      <c r="A857" s="511"/>
      <c r="B857" s="93"/>
      <c r="C857" s="93"/>
      <c r="D857" s="252"/>
      <c r="E857" s="93"/>
      <c r="F857" s="286"/>
      <c r="G857" s="93"/>
      <c r="H857" s="93"/>
      <c r="I857" s="93"/>
      <c r="J857" s="93"/>
      <c r="K857" s="93"/>
      <c r="L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C857" s="337"/>
      <c r="AD857" s="337"/>
      <c r="AE857" s="337"/>
      <c r="AF857" s="337"/>
      <c r="AH857" s="337"/>
      <c r="AI857" s="337"/>
      <c r="AJ857" s="337"/>
      <c r="AK857" s="337"/>
    </row>
    <row r="858" spans="1:37" x14ac:dyDescent="0.3">
      <c r="A858" s="511"/>
      <c r="B858" s="93"/>
      <c r="C858" s="93"/>
      <c r="D858" s="252"/>
      <c r="E858" s="93"/>
      <c r="F858" s="286"/>
      <c r="G858" s="252"/>
      <c r="H858" s="93"/>
      <c r="I858" s="93"/>
      <c r="J858" s="93"/>
      <c r="K858" s="93"/>
      <c r="L858" s="93"/>
      <c r="O858" s="93"/>
      <c r="P858" s="93"/>
      <c r="Q858" s="93"/>
      <c r="R858" s="93"/>
      <c r="S858" s="93"/>
      <c r="T858" s="509"/>
      <c r="U858" s="93"/>
      <c r="V858" s="93"/>
      <c r="W858" s="93"/>
      <c r="X858" s="93"/>
      <c r="Y858" s="93"/>
      <c r="Z858" s="93"/>
      <c r="AA858" s="93"/>
      <c r="AC858" s="337"/>
      <c r="AD858" s="337"/>
      <c r="AE858" s="337"/>
      <c r="AF858" s="337"/>
      <c r="AH858" s="337"/>
      <c r="AI858" s="337"/>
      <c r="AJ858" s="337"/>
      <c r="AK858" s="337"/>
    </row>
    <row r="859" spans="1:37" x14ac:dyDescent="0.3">
      <c r="A859" s="511"/>
      <c r="B859" s="93"/>
      <c r="C859" s="93"/>
      <c r="D859" s="252"/>
      <c r="E859" s="93"/>
      <c r="F859" s="286"/>
      <c r="G859" s="252"/>
      <c r="H859" s="93"/>
      <c r="I859" s="93"/>
      <c r="J859" s="93"/>
      <c r="K859" s="93"/>
      <c r="L859" s="93"/>
      <c r="O859" s="93"/>
      <c r="P859" s="93"/>
      <c r="Q859" s="385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C859" s="337"/>
      <c r="AD859" s="337"/>
      <c r="AE859" s="337"/>
      <c r="AF859" s="337"/>
      <c r="AH859" s="337"/>
      <c r="AI859" s="337"/>
      <c r="AJ859" s="337"/>
      <c r="AK859" s="337"/>
    </row>
    <row r="860" spans="1:37" ht="17.399999999999999" x14ac:dyDescent="0.35">
      <c r="A860" s="511"/>
      <c r="B860" s="164"/>
      <c r="C860" s="164"/>
      <c r="D860" s="165"/>
      <c r="E860" s="164"/>
      <c r="F860" s="287"/>
      <c r="G860" s="164"/>
      <c r="H860" s="164"/>
      <c r="I860" s="164"/>
      <c r="J860" s="164"/>
      <c r="K860" s="164"/>
      <c r="L860" s="93"/>
      <c r="M860" s="93"/>
      <c r="N860" s="93"/>
      <c r="O860" s="93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  <c r="AA860" s="164"/>
      <c r="AC860" s="337"/>
      <c r="AD860" s="337"/>
      <c r="AE860" s="337"/>
      <c r="AF860" s="337"/>
      <c r="AH860" s="337"/>
      <c r="AI860" s="337"/>
      <c r="AJ860" s="337"/>
      <c r="AK860" s="337"/>
    </row>
    <row r="861" spans="1:37" ht="17.399999999999999" x14ac:dyDescent="0.35">
      <c r="A861" s="511"/>
      <c r="B861" s="164"/>
      <c r="C861" s="164"/>
      <c r="D861" s="165"/>
      <c r="E861" s="164"/>
      <c r="F861" s="287"/>
      <c r="G861" s="164"/>
      <c r="H861" s="164"/>
      <c r="I861" s="164"/>
      <c r="J861" s="164"/>
      <c r="K861" s="164"/>
      <c r="L861" s="93"/>
      <c r="M861" s="93"/>
      <c r="N861" s="93"/>
      <c r="O861" s="93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  <c r="AA861" s="164"/>
      <c r="AC861" s="337"/>
      <c r="AD861" s="337"/>
      <c r="AE861" s="337"/>
      <c r="AF861" s="337"/>
      <c r="AH861" s="337"/>
      <c r="AI861" s="337"/>
      <c r="AJ861" s="337"/>
      <c r="AK861" s="337"/>
    </row>
    <row r="862" spans="1:37" ht="17.399999999999999" x14ac:dyDescent="0.35">
      <c r="A862" s="511"/>
      <c r="B862" s="164"/>
      <c r="C862" s="164"/>
      <c r="D862" s="165"/>
      <c r="E862" s="164"/>
      <c r="F862" s="287"/>
      <c r="G862" s="164"/>
      <c r="H862" s="164"/>
      <c r="I862" s="164"/>
      <c r="J862" s="164"/>
      <c r="K862" s="164"/>
      <c r="L862" s="93"/>
      <c r="M862" s="93"/>
      <c r="N862" s="93"/>
      <c r="O862" s="93"/>
      <c r="P862" s="164"/>
      <c r="Q862" s="164"/>
      <c r="R862" s="164"/>
      <c r="S862" s="164"/>
      <c r="T862" s="164"/>
      <c r="U862" s="164"/>
      <c r="V862" s="164"/>
      <c r="W862" s="164"/>
      <c r="X862" s="93"/>
      <c r="Y862" s="164"/>
      <c r="Z862" s="164"/>
      <c r="AA862" s="164"/>
      <c r="AC862" s="337"/>
      <c r="AD862" s="337"/>
      <c r="AE862" s="337"/>
      <c r="AF862" s="337"/>
      <c r="AH862" s="337"/>
      <c r="AI862" s="337"/>
      <c r="AJ862" s="337"/>
      <c r="AK862" s="337"/>
    </row>
    <row r="863" spans="1:37" ht="17.399999999999999" x14ac:dyDescent="0.35">
      <c r="A863" s="511"/>
      <c r="B863" s="164"/>
      <c r="C863" s="164"/>
      <c r="D863" s="342">
        <f>SUM(D820:D846)</f>
        <v>329296.28999999998</v>
      </c>
      <c r="E863" s="164"/>
      <c r="F863" s="287"/>
      <c r="G863" s="164"/>
      <c r="H863" s="164"/>
      <c r="I863" s="342">
        <f>SUM(I820:I841)</f>
        <v>237580</v>
      </c>
      <c r="J863" s="164"/>
      <c r="K863" s="164"/>
      <c r="L863" s="164"/>
      <c r="M863" s="164"/>
      <c r="N863" s="342">
        <f>SUM(N820:N838)</f>
        <v>85251.810000000347</v>
      </c>
      <c r="O863" s="164"/>
      <c r="P863" s="164"/>
      <c r="Q863" s="164"/>
      <c r="R863" s="164"/>
      <c r="S863" s="342">
        <f>SUM(S820:S862)</f>
        <v>201099.36</v>
      </c>
      <c r="T863" s="164"/>
      <c r="U863" s="164"/>
      <c r="V863" s="164"/>
      <c r="W863" s="164"/>
      <c r="X863" s="93"/>
      <c r="Y863" s="164"/>
      <c r="Z863" s="164"/>
      <c r="AA863" s="164"/>
      <c r="AC863" s="337"/>
      <c r="AD863" s="337"/>
      <c r="AE863" s="337"/>
      <c r="AF863" s="337"/>
      <c r="AH863" s="337"/>
      <c r="AI863" s="337"/>
      <c r="AJ863" s="337"/>
      <c r="AK863" s="337"/>
    </row>
    <row r="864" spans="1:37" ht="17.399999999999999" x14ac:dyDescent="0.35">
      <c r="A864" s="511"/>
      <c r="B864" s="164"/>
      <c r="C864" s="164"/>
      <c r="D864" s="164"/>
      <c r="E864" s="164"/>
      <c r="F864" s="287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93"/>
      <c r="Y864" s="164"/>
      <c r="Z864" s="164"/>
      <c r="AA864" s="164"/>
      <c r="AC864" s="337"/>
      <c r="AD864" s="337"/>
      <c r="AE864" s="337"/>
      <c r="AF864" s="337"/>
      <c r="AH864" s="337"/>
      <c r="AI864" s="337"/>
      <c r="AJ864" s="337"/>
      <c r="AK864" s="337"/>
    </row>
    <row r="865" spans="1:37" ht="17.399999999999999" x14ac:dyDescent="0.35">
      <c r="A865" s="511"/>
      <c r="B865" s="164"/>
      <c r="C865" s="164"/>
      <c r="D865" s="164"/>
      <c r="E865" s="164"/>
      <c r="F865" s="287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  <c r="AA865" s="164"/>
      <c r="AC865" s="337"/>
      <c r="AD865" s="337"/>
      <c r="AE865" s="337"/>
      <c r="AF865" s="337"/>
      <c r="AH865" s="337"/>
      <c r="AI865" s="337"/>
      <c r="AJ865" s="337"/>
      <c r="AK865" s="337"/>
    </row>
    <row r="866" spans="1:37" ht="17.399999999999999" x14ac:dyDescent="0.35">
      <c r="A866" s="511"/>
      <c r="B866" s="164"/>
      <c r="C866" s="343"/>
      <c r="D866" s="522" t="s">
        <v>219</v>
      </c>
      <c r="E866" s="523"/>
      <c r="F866" s="524" t="s">
        <v>220</v>
      </c>
      <c r="G866" s="524"/>
      <c r="H866" s="524" t="s">
        <v>221</v>
      </c>
      <c r="I866" s="524"/>
      <c r="J866" s="524" t="s">
        <v>222</v>
      </c>
      <c r="K866" s="524"/>
      <c r="L866" s="522" t="s">
        <v>223</v>
      </c>
      <c r="M866" s="523"/>
      <c r="N866" s="524" t="s">
        <v>224</v>
      </c>
      <c r="O866" s="524"/>
      <c r="P866" s="524" t="s">
        <v>225</v>
      </c>
      <c r="Q866" s="524"/>
      <c r="R866" s="524" t="s">
        <v>226</v>
      </c>
      <c r="S866" s="524"/>
      <c r="T866" s="524" t="s">
        <v>227</v>
      </c>
      <c r="U866" s="524"/>
      <c r="V866" s="524" t="s">
        <v>228</v>
      </c>
      <c r="W866" s="524"/>
      <c r="X866" s="524" t="s">
        <v>229</v>
      </c>
      <c r="Y866" s="524"/>
      <c r="Z866" s="524" t="s">
        <v>230</v>
      </c>
      <c r="AA866" s="524"/>
      <c r="AC866" s="337"/>
      <c r="AD866" s="337"/>
      <c r="AE866" s="337"/>
      <c r="AF866" s="337"/>
      <c r="AH866" s="337"/>
      <c r="AI866" s="337"/>
      <c r="AJ866" s="337"/>
      <c r="AK866" s="337"/>
    </row>
    <row r="867" spans="1:37" ht="17.399999999999999" x14ac:dyDescent="0.35">
      <c r="A867" s="511"/>
      <c r="B867" s="164"/>
      <c r="C867" s="344" t="s">
        <v>233</v>
      </c>
      <c r="D867" s="345">
        <v>124163</v>
      </c>
      <c r="E867" s="345">
        <f>D867/60</f>
        <v>2069.3833333333332</v>
      </c>
      <c r="F867" s="346">
        <v>226382</v>
      </c>
      <c r="G867" s="345">
        <v>3773.0333333333333</v>
      </c>
      <c r="H867" s="347">
        <v>262601</v>
      </c>
      <c r="I867" s="345">
        <f>H867/60</f>
        <v>4376.6833333333334</v>
      </c>
      <c r="J867" s="347">
        <v>221316</v>
      </c>
      <c r="K867" s="345">
        <f>J867/60</f>
        <v>3688.6</v>
      </c>
      <c r="L867" s="348">
        <v>205093</v>
      </c>
      <c r="M867" s="345">
        <f>L867/60</f>
        <v>3418.2166666666667</v>
      </c>
      <c r="N867" s="349">
        <v>224145</v>
      </c>
      <c r="O867" s="345">
        <v>3735.75</v>
      </c>
      <c r="P867" s="349">
        <v>168789</v>
      </c>
      <c r="Q867" s="345">
        <v>2813.15</v>
      </c>
      <c r="R867" s="349">
        <v>214983</v>
      </c>
      <c r="S867" s="345">
        <f>R867/60</f>
        <v>3583.05</v>
      </c>
      <c r="T867" s="349">
        <f>I863</f>
        <v>237580</v>
      </c>
      <c r="U867" s="345">
        <f>T867/60</f>
        <v>3959.6666666666665</v>
      </c>
      <c r="V867" s="349"/>
      <c r="W867" s="343"/>
      <c r="X867" s="349"/>
      <c r="Y867" s="343"/>
      <c r="Z867" s="349"/>
      <c r="AA867" s="343"/>
      <c r="AC867" s="337"/>
      <c r="AD867" s="337"/>
      <c r="AE867" s="337"/>
      <c r="AF867" s="337"/>
    </row>
    <row r="868" spans="1:37" ht="17.399999999999999" x14ac:dyDescent="0.35">
      <c r="A868" s="511"/>
      <c r="B868" s="164"/>
      <c r="C868" s="344" t="s">
        <v>234</v>
      </c>
      <c r="D868" s="345">
        <v>172515.20000000001</v>
      </c>
      <c r="E868" s="345">
        <f>D868/60</f>
        <v>2875.2533333333336</v>
      </c>
      <c r="F868" s="346">
        <v>201945.40000000002</v>
      </c>
      <c r="G868" s="345">
        <v>3365.7566666666671</v>
      </c>
      <c r="H868" s="347">
        <v>229855</v>
      </c>
      <c r="I868" s="345">
        <f t="shared" ref="I868:I872" si="178">H868/60</f>
        <v>3830.9166666666665</v>
      </c>
      <c r="J868" s="347">
        <v>286666.40000000002</v>
      </c>
      <c r="K868" s="345">
        <f t="shared" ref="K868:K872" si="179">J868/60</f>
        <v>4777.7733333333335</v>
      </c>
      <c r="L868" s="349">
        <v>287992.19999999995</v>
      </c>
      <c r="M868" s="345">
        <f t="shared" ref="M868:M870" si="180">L868/60</f>
        <v>4799.869999999999</v>
      </c>
      <c r="N868" s="349">
        <v>323495.40000000002</v>
      </c>
      <c r="O868" s="345">
        <v>5391.59</v>
      </c>
      <c r="P868" s="349">
        <v>214520.6</v>
      </c>
      <c r="Q868" s="345">
        <v>3575.3433333333332</v>
      </c>
      <c r="R868" s="349">
        <v>258169</v>
      </c>
      <c r="S868" s="345">
        <f t="shared" ref="S868:U871" si="181">R868/60</f>
        <v>4302.8166666666666</v>
      </c>
      <c r="T868" s="349">
        <f>D863</f>
        <v>329296.28999999998</v>
      </c>
      <c r="U868" s="345">
        <f t="shared" si="181"/>
        <v>5488.2714999999998</v>
      </c>
      <c r="V868" s="349"/>
      <c r="W868" s="343"/>
      <c r="X868" s="343"/>
      <c r="Y868" s="343"/>
      <c r="Z868" s="349"/>
      <c r="AA868" s="343"/>
      <c r="AC868" s="337"/>
      <c r="AD868" s="337"/>
      <c r="AE868" s="337"/>
      <c r="AF868" s="337"/>
    </row>
    <row r="869" spans="1:37" ht="17.399999999999999" x14ac:dyDescent="0.35">
      <c r="A869" s="511"/>
      <c r="B869" s="164"/>
      <c r="C869" s="344" t="s">
        <v>236</v>
      </c>
      <c r="D869" s="345">
        <v>157647.1</v>
      </c>
      <c r="E869" s="345">
        <f t="shared" ref="E869:E871" si="182">D869/60</f>
        <v>2627.4516666666668</v>
      </c>
      <c r="F869" s="346">
        <v>173546</v>
      </c>
      <c r="G869" s="345">
        <v>2892.4333333333334</v>
      </c>
      <c r="H869" s="347">
        <v>231552.7</v>
      </c>
      <c r="I869" s="345">
        <f t="shared" si="178"/>
        <v>3859.211666666667</v>
      </c>
      <c r="J869" s="347">
        <v>249952</v>
      </c>
      <c r="K869" s="345">
        <f t="shared" si="179"/>
        <v>4165.8666666666668</v>
      </c>
      <c r="L869" s="349">
        <v>187220</v>
      </c>
      <c r="M869" s="345">
        <f t="shared" si="180"/>
        <v>3120.3333333333335</v>
      </c>
      <c r="N869" s="349">
        <v>185284.84</v>
      </c>
      <c r="O869" s="345">
        <v>3088.0806666666667</v>
      </c>
      <c r="P869" s="349">
        <v>116716.12</v>
      </c>
      <c r="Q869" s="345">
        <v>1945.2686666666666</v>
      </c>
      <c r="R869" s="349">
        <v>133671.28</v>
      </c>
      <c r="S869" s="345">
        <f t="shared" si="181"/>
        <v>2227.8546666666666</v>
      </c>
      <c r="T869" s="349">
        <f>S863</f>
        <v>201099.36</v>
      </c>
      <c r="U869" s="345">
        <f t="shared" si="181"/>
        <v>3351.6559999999999</v>
      </c>
      <c r="V869" s="349"/>
      <c r="W869" s="343"/>
      <c r="X869" s="343"/>
      <c r="Y869" s="343"/>
      <c r="Z869" s="349"/>
      <c r="AA869" s="343"/>
      <c r="AC869" s="337"/>
      <c r="AD869" s="337"/>
      <c r="AE869" s="337"/>
      <c r="AF869" s="337"/>
    </row>
    <row r="870" spans="1:37" ht="17.399999999999999" x14ac:dyDescent="0.35">
      <c r="A870" s="511"/>
      <c r="B870" s="164"/>
      <c r="C870" s="344" t="s">
        <v>237</v>
      </c>
      <c r="D870" s="345">
        <v>74670</v>
      </c>
      <c r="E870" s="345">
        <f t="shared" si="182"/>
        <v>1244.5</v>
      </c>
      <c r="F870" s="346">
        <v>96006.8</v>
      </c>
      <c r="G870" s="345">
        <v>1600.1133333333335</v>
      </c>
      <c r="H870" s="347">
        <v>138906.20000000001</v>
      </c>
      <c r="I870" s="345">
        <f t="shared" si="178"/>
        <v>2315.1033333333335</v>
      </c>
      <c r="J870" s="347">
        <v>95281.8</v>
      </c>
      <c r="K870" s="345">
        <f t="shared" si="179"/>
        <v>1588.03</v>
      </c>
      <c r="L870" s="349">
        <v>81555</v>
      </c>
      <c r="M870" s="345">
        <f t="shared" si="180"/>
        <v>1359.25</v>
      </c>
      <c r="N870" s="349">
        <v>76820.800000000003</v>
      </c>
      <c r="O870" s="345">
        <v>1280.3466666666668</v>
      </c>
      <c r="P870" s="349">
        <v>67168</v>
      </c>
      <c r="Q870" s="345">
        <v>1119.4666666666667</v>
      </c>
      <c r="R870" s="349">
        <v>76717.899999999994</v>
      </c>
      <c r="S870" s="345">
        <f t="shared" si="181"/>
        <v>1278.6316666666667</v>
      </c>
      <c r="T870" s="349">
        <f>N863</f>
        <v>85251.810000000347</v>
      </c>
      <c r="U870" s="345">
        <f t="shared" si="181"/>
        <v>1420.8635000000058</v>
      </c>
      <c r="V870" s="349"/>
      <c r="W870" s="343"/>
      <c r="X870" s="343"/>
      <c r="Y870" s="343"/>
      <c r="Z870" s="349"/>
      <c r="AA870" s="343"/>
      <c r="AC870" s="337"/>
      <c r="AD870" s="337"/>
      <c r="AE870" s="337"/>
      <c r="AF870" s="337"/>
    </row>
    <row r="871" spans="1:37" ht="17.399999999999999" x14ac:dyDescent="0.35">
      <c r="A871" s="511"/>
      <c r="B871" s="164"/>
      <c r="C871" s="344" t="s">
        <v>238</v>
      </c>
      <c r="D871" s="345">
        <v>6660.85</v>
      </c>
      <c r="E871" s="345">
        <f t="shared" si="182"/>
        <v>111.01416666666667</v>
      </c>
      <c r="F871" s="346">
        <v>46265.5</v>
      </c>
      <c r="G871" s="345">
        <v>771.0916666666667</v>
      </c>
      <c r="H871" s="347">
        <v>90103.58</v>
      </c>
      <c r="I871" s="345">
        <f t="shared" si="178"/>
        <v>1501.7263333333333</v>
      </c>
      <c r="J871" s="347">
        <v>81565.8</v>
      </c>
      <c r="K871" s="345">
        <f t="shared" si="179"/>
        <v>1359.43</v>
      </c>
      <c r="L871" s="351">
        <v>19857.829999999998</v>
      </c>
      <c r="M871" s="345">
        <f>L871/60</f>
        <v>330.9638333333333</v>
      </c>
      <c r="N871" s="351"/>
      <c r="O871" s="345">
        <v>0</v>
      </c>
      <c r="P871" s="351"/>
      <c r="Q871" s="345">
        <v>0</v>
      </c>
      <c r="R871" s="351"/>
      <c r="S871" s="345">
        <f t="shared" si="181"/>
        <v>0</v>
      </c>
      <c r="T871" s="351"/>
      <c r="U871" s="345">
        <f t="shared" si="181"/>
        <v>0</v>
      </c>
      <c r="V871" s="351"/>
      <c r="W871" s="343"/>
      <c r="X871" s="350"/>
      <c r="Y871" s="343"/>
      <c r="Z871" s="350"/>
      <c r="AA871" s="343"/>
      <c r="AC871" s="337"/>
      <c r="AD871" s="337"/>
      <c r="AE871" s="339"/>
      <c r="AF871" s="337"/>
    </row>
    <row r="872" spans="1:37" ht="17.399999999999999" x14ac:dyDescent="0.35">
      <c r="A872" s="511"/>
      <c r="B872" s="265"/>
      <c r="C872" s="344" t="s">
        <v>239</v>
      </c>
      <c r="D872" s="345">
        <v>3672</v>
      </c>
      <c r="E872" s="345">
        <f>D872/60</f>
        <v>61.2</v>
      </c>
      <c r="F872" s="346">
        <v>72295.34</v>
      </c>
      <c r="G872" s="345">
        <v>1204.9223333333332</v>
      </c>
      <c r="H872" s="347">
        <v>69349.39999999998</v>
      </c>
      <c r="I872" s="345">
        <f t="shared" si="178"/>
        <v>1155.823333333333</v>
      </c>
      <c r="J872" s="347">
        <v>60896.53</v>
      </c>
      <c r="K872" s="345">
        <f t="shared" si="179"/>
        <v>1014.9421666666666</v>
      </c>
      <c r="L872" s="347">
        <v>35794.719999999994</v>
      </c>
      <c r="M872" s="345">
        <f t="shared" ref="M872" si="183">L872/60</f>
        <v>596.57866666666655</v>
      </c>
      <c r="N872" s="347"/>
      <c r="O872" s="345">
        <v>0</v>
      </c>
      <c r="P872" s="343">
        <v>37987.25</v>
      </c>
      <c r="Q872" s="345">
        <v>633.12083333333328</v>
      </c>
      <c r="R872" s="343">
        <v>29885.780000000002</v>
      </c>
      <c r="S872" s="345">
        <f>R872/60</f>
        <v>498.09633333333335</v>
      </c>
      <c r="T872" s="343"/>
      <c r="U872" s="345">
        <f>T872/60</f>
        <v>0</v>
      </c>
      <c r="V872" s="343"/>
      <c r="W872" s="343"/>
      <c r="X872" s="343"/>
      <c r="Y872" s="343"/>
      <c r="Z872" s="343"/>
      <c r="AA872" s="343"/>
      <c r="AC872" s="337"/>
      <c r="AD872" s="337"/>
      <c r="AE872" s="337"/>
      <c r="AF872" s="337"/>
    </row>
    <row r="873" spans="1:37" ht="17.399999999999999" x14ac:dyDescent="0.35">
      <c r="A873" s="511"/>
      <c r="B873" s="164"/>
      <c r="C873" s="162"/>
      <c r="D873" s="163"/>
      <c r="E873" s="352">
        <f>SUM(E867:E872)</f>
        <v>8988.8024999999998</v>
      </c>
      <c r="F873" s="353"/>
      <c r="G873" s="352">
        <f>SUM(G867:G872)</f>
        <v>13607.350666666669</v>
      </c>
      <c r="H873" s="347"/>
      <c r="I873" s="352">
        <f>SUM(I867:I872)</f>
        <v>17039.464666666667</v>
      </c>
      <c r="J873" s="347"/>
      <c r="K873" s="352">
        <f>SUM(K867:K872)</f>
        <v>16594.642166666668</v>
      </c>
      <c r="L873" s="343"/>
      <c r="M873" s="352">
        <f>SUM(M867:M872)</f>
        <v>13625.2125</v>
      </c>
      <c r="N873" s="343"/>
      <c r="O873" s="352">
        <v>13495.767333333333</v>
      </c>
      <c r="P873" s="343"/>
      <c r="Q873" s="375">
        <f>SUM(Q867:Q872)</f>
        <v>10086.3495</v>
      </c>
      <c r="R873" s="343"/>
      <c r="S873" s="375">
        <f>SUM(S867:S872)</f>
        <v>11890.449333333332</v>
      </c>
      <c r="T873" s="343"/>
      <c r="U873" s="375">
        <f>SUM(U867:U872)</f>
        <v>14220.457666666673</v>
      </c>
      <c r="V873" s="343"/>
      <c r="W873" s="354"/>
      <c r="X873" s="343"/>
      <c r="Y873" s="354"/>
      <c r="Z873" s="343"/>
      <c r="AA873" s="356"/>
      <c r="AC873" s="337"/>
      <c r="AD873" s="337"/>
      <c r="AE873" s="337"/>
      <c r="AF873" s="337"/>
    </row>
    <row r="874" spans="1:37" ht="17.399999999999999" x14ac:dyDescent="0.35">
      <c r="A874" s="511"/>
      <c r="B874" s="164"/>
      <c r="C874" s="164"/>
      <c r="D874" s="164"/>
      <c r="E874" s="164"/>
      <c r="F874" s="287"/>
      <c r="G874" s="164"/>
      <c r="H874" s="164"/>
      <c r="I874" s="164"/>
      <c r="J874" s="164"/>
      <c r="K874" s="164"/>
      <c r="L874" s="164"/>
      <c r="M874" s="165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  <c r="AA874" s="164"/>
      <c r="AC874" s="337"/>
      <c r="AD874" s="337"/>
      <c r="AE874" s="337"/>
      <c r="AF874" s="337"/>
    </row>
    <row r="875" spans="1:37" x14ac:dyDescent="0.3">
      <c r="A875" s="511"/>
      <c r="B875" s="93"/>
      <c r="C875" s="93"/>
      <c r="D875" s="93"/>
      <c r="E875" s="93"/>
      <c r="F875" s="286"/>
      <c r="G875" s="93"/>
      <c r="H875" s="93"/>
      <c r="I875" s="93"/>
      <c r="J875" s="93"/>
      <c r="K875" s="93"/>
      <c r="L875" s="93"/>
      <c r="M875" s="93"/>
      <c r="N875" s="252"/>
      <c r="O875" s="93"/>
      <c r="P875" s="93"/>
      <c r="Q875" s="93"/>
      <c r="R875" s="93"/>
      <c r="S875" s="385"/>
      <c r="T875" s="93"/>
      <c r="U875" s="93"/>
      <c r="V875" s="93"/>
      <c r="W875" s="93"/>
      <c r="X875" s="93"/>
      <c r="Y875" s="93"/>
      <c r="Z875" s="93"/>
      <c r="AA875" s="93"/>
      <c r="AC875" s="337"/>
      <c r="AD875" s="337"/>
      <c r="AE875" s="337"/>
      <c r="AF875" s="337"/>
    </row>
    <row r="876" spans="1:37" x14ac:dyDescent="0.3">
      <c r="A876" s="511"/>
      <c r="B876" s="93"/>
      <c r="C876" s="93"/>
      <c r="D876" s="93"/>
      <c r="E876" s="93"/>
      <c r="F876" s="286"/>
      <c r="G876" s="93"/>
      <c r="H876" s="93"/>
      <c r="I876" s="93"/>
      <c r="J876" s="93"/>
      <c r="K876" s="93"/>
      <c r="L876" s="208"/>
      <c r="M876" s="93"/>
      <c r="N876" s="93"/>
      <c r="O876" s="93"/>
      <c r="P876" s="93"/>
      <c r="Q876" s="93"/>
      <c r="R876" s="93"/>
      <c r="S876" s="385"/>
      <c r="T876" s="93"/>
      <c r="U876" s="93"/>
      <c r="V876" s="93"/>
      <c r="W876" s="93"/>
      <c r="X876" s="93"/>
      <c r="Y876" s="93"/>
      <c r="Z876" s="93"/>
      <c r="AA876" s="93"/>
      <c r="AC876" s="337"/>
      <c r="AD876" s="337"/>
      <c r="AE876" s="337"/>
      <c r="AF876" s="337"/>
    </row>
    <row r="877" spans="1:37" x14ac:dyDescent="0.3">
      <c r="A877" s="511"/>
      <c r="B877" s="93"/>
      <c r="C877" s="93"/>
      <c r="D877" s="93"/>
      <c r="E877" s="93"/>
      <c r="F877" s="286"/>
      <c r="G877" s="93"/>
      <c r="H877" s="93"/>
      <c r="I877" s="93"/>
      <c r="J877" s="93"/>
      <c r="K877" s="93"/>
      <c r="L877" s="208"/>
      <c r="M877" s="93"/>
      <c r="N877" s="93"/>
      <c r="O877" s="93"/>
      <c r="P877" s="93"/>
      <c r="Q877" s="93"/>
      <c r="R877" s="93"/>
      <c r="S877" s="385"/>
      <c r="T877" s="93"/>
      <c r="U877" s="93"/>
      <c r="V877" s="93"/>
      <c r="W877" s="93"/>
      <c r="X877" s="93"/>
      <c r="Y877" s="93"/>
      <c r="Z877" s="93"/>
      <c r="AA877" s="93"/>
      <c r="AC877" s="337"/>
      <c r="AD877" s="337"/>
      <c r="AE877" s="337"/>
      <c r="AF877" s="337"/>
    </row>
    <row r="878" spans="1:37" ht="15" thickBot="1" x14ac:dyDescent="0.35">
      <c r="A878" s="511"/>
      <c r="B878" s="93"/>
      <c r="C878" s="93"/>
      <c r="D878" s="93"/>
      <c r="E878" s="93"/>
      <c r="F878" s="286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C878" s="337"/>
      <c r="AD878" s="337"/>
      <c r="AE878" s="337"/>
      <c r="AF878" s="337"/>
    </row>
    <row r="879" spans="1:37" ht="31.8" thickBot="1" x14ac:dyDescent="0.65">
      <c r="A879" s="511"/>
      <c r="B879" s="525" t="s">
        <v>246</v>
      </c>
      <c r="C879" s="525"/>
      <c r="D879" s="525"/>
      <c r="E879" s="525"/>
      <c r="F879" s="525"/>
      <c r="G879" s="525"/>
      <c r="H879" s="525"/>
      <c r="I879" s="525"/>
      <c r="J879" s="525"/>
      <c r="K879" s="525"/>
      <c r="L879" s="525"/>
      <c r="M879" s="525"/>
      <c r="N879" s="525"/>
      <c r="O879" s="525"/>
      <c r="P879" s="525"/>
      <c r="Q879" s="525"/>
      <c r="R879" s="525"/>
      <c r="S879" s="525"/>
      <c r="T879" s="525"/>
      <c r="U879" s="525"/>
      <c r="V879" s="525"/>
      <c r="W879" s="525"/>
      <c r="X879" s="525"/>
      <c r="Y879" s="525"/>
      <c r="Z879" s="525"/>
      <c r="AA879" s="526"/>
      <c r="AC879" s="337"/>
      <c r="AD879" s="337"/>
      <c r="AE879" s="337"/>
      <c r="AF879" s="337"/>
      <c r="AJ879" s="443">
        <f>SUM(AE820:AE900,AJ820:AJ866)</f>
        <v>0</v>
      </c>
    </row>
    <row r="880" spans="1:37" ht="17.399999999999999" thickBot="1" x14ac:dyDescent="0.35">
      <c r="A880" s="511"/>
      <c r="B880" s="527"/>
      <c r="C880" s="527"/>
      <c r="D880" s="166" t="s">
        <v>247</v>
      </c>
      <c r="E880" s="167" t="s">
        <v>248</v>
      </c>
      <c r="F880" s="374" t="s">
        <v>249</v>
      </c>
      <c r="G880" s="167" t="s">
        <v>250</v>
      </c>
      <c r="H880" s="166" t="s">
        <v>251</v>
      </c>
      <c r="I880" s="167" t="s">
        <v>252</v>
      </c>
      <c r="J880" s="166" t="s">
        <v>253</v>
      </c>
      <c r="K880" s="167" t="s">
        <v>254</v>
      </c>
      <c r="L880" s="166" t="s">
        <v>255</v>
      </c>
      <c r="M880" s="167" t="s">
        <v>256</v>
      </c>
      <c r="N880" s="168" t="s">
        <v>257</v>
      </c>
      <c r="O880" s="169" t="s">
        <v>258</v>
      </c>
      <c r="P880" s="166" t="s">
        <v>259</v>
      </c>
      <c r="Q880" s="167" t="s">
        <v>260</v>
      </c>
      <c r="R880" s="469" t="s">
        <v>261</v>
      </c>
      <c r="S880" s="468" t="s">
        <v>262</v>
      </c>
      <c r="T880" s="166" t="s">
        <v>263</v>
      </c>
      <c r="U880" s="166" t="s">
        <v>264</v>
      </c>
      <c r="V880" s="166" t="s">
        <v>265</v>
      </c>
      <c r="W880" s="170" t="s">
        <v>266</v>
      </c>
      <c r="X880" s="166" t="s">
        <v>267</v>
      </c>
      <c r="Y880" s="170" t="s">
        <v>268</v>
      </c>
      <c r="Z880" s="166" t="s">
        <v>269</v>
      </c>
      <c r="AA880" s="170" t="s">
        <v>270</v>
      </c>
      <c r="AC880" s="337"/>
      <c r="AD880" s="337"/>
      <c r="AE880" s="337"/>
      <c r="AF880" s="337"/>
    </row>
    <row r="881" spans="1:32" ht="17.399999999999999" x14ac:dyDescent="0.35">
      <c r="A881" s="511"/>
      <c r="B881" s="357">
        <v>110012</v>
      </c>
      <c r="C881" s="171" t="s">
        <v>272</v>
      </c>
      <c r="D881" s="372">
        <v>707750.65</v>
      </c>
      <c r="E881" s="204">
        <f>D881/60</f>
        <v>11795.844166666668</v>
      </c>
      <c r="F881" s="372">
        <v>953892</v>
      </c>
      <c r="G881" s="204">
        <f>F881/60</f>
        <v>15898.2</v>
      </c>
      <c r="H881" s="372">
        <v>1116136.94</v>
      </c>
      <c r="I881" s="204">
        <f>H881/60</f>
        <v>18602.282333333333</v>
      </c>
      <c r="J881" s="372">
        <v>995678.48999999976</v>
      </c>
      <c r="K881" s="376">
        <f>J881/60</f>
        <v>16594.641499999994</v>
      </c>
      <c r="L881" s="172">
        <v>817512.75</v>
      </c>
      <c r="M881" s="423">
        <f>L881/60</f>
        <v>13625.2125</v>
      </c>
      <c r="N881" s="176">
        <v>927112.95</v>
      </c>
      <c r="O881" s="173">
        <f>N881/60</f>
        <v>15451.8825</v>
      </c>
      <c r="P881" s="176">
        <v>605180.7900000005</v>
      </c>
      <c r="Q881" s="376">
        <f>P881/60</f>
        <v>10086.346500000009</v>
      </c>
      <c r="R881" s="176">
        <v>713426.96000000031</v>
      </c>
      <c r="S881" s="376">
        <f>R881/60</f>
        <v>11890.449333333339</v>
      </c>
      <c r="T881" s="177">
        <v>853227.46000000031</v>
      </c>
      <c r="U881" s="376">
        <f>T881/60</f>
        <v>14220.457666666673</v>
      </c>
      <c r="V881" s="176"/>
      <c r="W881" s="173">
        <f>V881/60</f>
        <v>0</v>
      </c>
      <c r="X881" s="176"/>
      <c r="Y881" s="173">
        <f>X881/60</f>
        <v>0</v>
      </c>
      <c r="Z881" s="176"/>
      <c r="AA881" s="173">
        <f>Z881/60</f>
        <v>0</v>
      </c>
      <c r="AC881" s="337"/>
      <c r="AD881" s="337"/>
      <c r="AE881" s="337"/>
      <c r="AF881" s="337"/>
    </row>
    <row r="882" spans="1:32" ht="17.399999999999999" x14ac:dyDescent="0.35">
      <c r="A882" s="511"/>
      <c r="B882" s="412">
        <v>1104111</v>
      </c>
      <c r="C882" s="413" t="s">
        <v>1015</v>
      </c>
      <c r="D882" s="372"/>
      <c r="E882" s="414"/>
      <c r="F882" s="372"/>
      <c r="G882" s="414"/>
      <c r="H882" s="372"/>
      <c r="I882" s="414"/>
      <c r="J882" s="372"/>
      <c r="K882" s="415"/>
      <c r="L882" s="416"/>
      <c r="M882" s="422"/>
      <c r="N882" s="417">
        <v>16328.2</v>
      </c>
      <c r="O882" s="184">
        <f>N882/60</f>
        <v>272.13666666666666</v>
      </c>
      <c r="P882" s="417">
        <v>22111.600000000002</v>
      </c>
      <c r="Q882" s="184">
        <f>P882/60</f>
        <v>368.5266666666667</v>
      </c>
      <c r="R882" s="417">
        <v>103076.80000000005</v>
      </c>
      <c r="S882" s="470">
        <f t="shared" ref="S882:U884" si="184">R882/60</f>
        <v>1717.9466666666674</v>
      </c>
      <c r="T882" s="418">
        <v>118831.78999999998</v>
      </c>
      <c r="U882" s="470">
        <f>T882/60</f>
        <v>1980.529833333333</v>
      </c>
      <c r="V882" s="417"/>
      <c r="W882" s="184"/>
      <c r="X882" s="417"/>
      <c r="Y882" s="184"/>
      <c r="Z882" s="417"/>
      <c r="AA882" s="184"/>
      <c r="AC882" s="337"/>
      <c r="AD882" s="337"/>
      <c r="AE882" s="339"/>
      <c r="AF882" s="337"/>
    </row>
    <row r="883" spans="1:32" ht="17.399999999999999" x14ac:dyDescent="0.35">
      <c r="A883" s="511"/>
      <c r="B883" s="412">
        <v>1104110</v>
      </c>
      <c r="C883" s="413" t="s">
        <v>1016</v>
      </c>
      <c r="D883" s="372"/>
      <c r="E883" s="414"/>
      <c r="F883" s="372"/>
      <c r="G883" s="414"/>
      <c r="H883" s="372"/>
      <c r="I883" s="414"/>
      <c r="J883" s="372"/>
      <c r="K883" s="415"/>
      <c r="L883" s="416"/>
      <c r="M883" s="422"/>
      <c r="N883" s="429"/>
      <c r="O883" s="184">
        <f t="shared" ref="O883:O884" si="185">N883/60</f>
        <v>0</v>
      </c>
      <c r="P883" s="429">
        <v>424.5</v>
      </c>
      <c r="Q883" s="184">
        <f t="shared" ref="Q883:Q884" si="186">P883/60</f>
        <v>7.0750000000000002</v>
      </c>
      <c r="R883" s="429">
        <v>139.28</v>
      </c>
      <c r="S883" s="470">
        <f t="shared" si="184"/>
        <v>2.3213333333333335</v>
      </c>
      <c r="T883" s="418">
        <v>2644.96</v>
      </c>
      <c r="U883" s="470">
        <f t="shared" si="184"/>
        <v>44.082666666666668</v>
      </c>
      <c r="V883" s="417"/>
      <c r="W883" s="184"/>
      <c r="X883" s="417"/>
      <c r="Y883" s="184"/>
      <c r="Z883" s="417"/>
      <c r="AA883" s="184"/>
      <c r="AC883" s="337"/>
      <c r="AD883" s="337"/>
      <c r="AE883" s="339"/>
      <c r="AF883" s="337"/>
    </row>
    <row r="884" spans="1:32" ht="17.399999999999999" x14ac:dyDescent="0.35">
      <c r="A884" s="511"/>
      <c r="B884" s="412">
        <v>1104112</v>
      </c>
      <c r="C884" s="413" t="s">
        <v>1017</v>
      </c>
      <c r="D884" s="372"/>
      <c r="E884" s="414"/>
      <c r="F884" s="372"/>
      <c r="G884" s="414"/>
      <c r="H884" s="372"/>
      <c r="I884" s="414"/>
      <c r="J884" s="372"/>
      <c r="K884" s="415"/>
      <c r="L884" s="416"/>
      <c r="M884" s="422"/>
      <c r="N884" s="182"/>
      <c r="O884" s="184">
        <f t="shared" si="185"/>
        <v>0</v>
      </c>
      <c r="P884" s="182">
        <v>1590</v>
      </c>
      <c r="Q884" s="184">
        <f t="shared" si="186"/>
        <v>26.5</v>
      </c>
      <c r="R884" s="182">
        <v>6341.0300000000007</v>
      </c>
      <c r="S884" s="470">
        <f t="shared" si="184"/>
        <v>105.68383333333334</v>
      </c>
      <c r="T884" s="418">
        <v>16578.580000000002</v>
      </c>
      <c r="U884" s="470">
        <f t="shared" si="184"/>
        <v>276.30966666666671</v>
      </c>
      <c r="V884" s="417"/>
      <c r="W884" s="184"/>
      <c r="X884" s="417"/>
      <c r="Y884" s="184"/>
      <c r="Z884" s="417"/>
      <c r="AA884" s="184"/>
      <c r="AC884" s="337"/>
      <c r="AD884" s="337"/>
      <c r="AE884" s="337"/>
      <c r="AF884" s="337"/>
    </row>
    <row r="885" spans="1:32" ht="17.399999999999999" x14ac:dyDescent="0.35">
      <c r="A885" s="511"/>
      <c r="B885" s="412">
        <v>1104211</v>
      </c>
      <c r="C885" s="413" t="s">
        <v>1014</v>
      </c>
      <c r="D885" s="372"/>
      <c r="E885" s="414"/>
      <c r="F885" s="372"/>
      <c r="G885" s="414"/>
      <c r="H885" s="372"/>
      <c r="I885" s="414"/>
      <c r="J885" s="372"/>
      <c r="K885" s="415"/>
      <c r="L885" s="416"/>
      <c r="M885" s="422"/>
      <c r="N885" s="417">
        <v>32625</v>
      </c>
      <c r="O885" s="184"/>
      <c r="P885" s="417">
        <v>62288</v>
      </c>
      <c r="Q885" s="184"/>
      <c r="R885" s="417">
        <v>94243</v>
      </c>
      <c r="S885" s="470"/>
      <c r="T885" s="418">
        <v>80126</v>
      </c>
      <c r="U885" s="470"/>
      <c r="V885" s="417"/>
      <c r="W885" s="184"/>
      <c r="X885" s="417"/>
      <c r="Y885" s="184"/>
      <c r="Z885" s="417"/>
      <c r="AA885" s="184"/>
      <c r="AC885" s="337"/>
      <c r="AD885" s="337"/>
      <c r="AE885" s="337"/>
      <c r="AF885" s="337"/>
    </row>
    <row r="886" spans="1:32" ht="17.399999999999999" x14ac:dyDescent="0.35">
      <c r="A886" s="511"/>
      <c r="B886" s="412">
        <v>1104210</v>
      </c>
      <c r="C886" s="413" t="s">
        <v>1014</v>
      </c>
      <c r="D886" s="372"/>
      <c r="E886" s="414"/>
      <c r="F886" s="372"/>
      <c r="G886" s="414"/>
      <c r="H886" s="372"/>
      <c r="I886" s="414"/>
      <c r="J886" s="372"/>
      <c r="K886" s="415"/>
      <c r="L886" s="416"/>
      <c r="M886" s="422"/>
      <c r="N886" s="417">
        <v>132794.68</v>
      </c>
      <c r="O886" s="184"/>
      <c r="P886" s="417">
        <v>161509.07999999999</v>
      </c>
      <c r="Q886" s="184"/>
      <c r="R886" s="417">
        <v>212838.56</v>
      </c>
      <c r="S886" s="470"/>
      <c r="T886" s="418">
        <v>218535.6</v>
      </c>
      <c r="U886" s="470"/>
      <c r="V886" s="417"/>
      <c r="W886" s="184"/>
      <c r="X886" s="417"/>
      <c r="Y886" s="184"/>
      <c r="Z886" s="417"/>
      <c r="AA886" s="184"/>
      <c r="AC886" s="337"/>
      <c r="AD886" s="337"/>
      <c r="AE886" s="339"/>
      <c r="AF886" s="337"/>
    </row>
    <row r="887" spans="1:32" ht="18" thickBot="1" x14ac:dyDescent="0.4">
      <c r="A887" s="511"/>
      <c r="B887" s="412">
        <v>1104212</v>
      </c>
      <c r="C887" s="413" t="s">
        <v>1014</v>
      </c>
      <c r="D887" s="372"/>
      <c r="E887" s="414"/>
      <c r="F887" s="372"/>
      <c r="G887" s="414"/>
      <c r="H887" s="372"/>
      <c r="I887" s="414"/>
      <c r="J887" s="372"/>
      <c r="K887" s="415"/>
      <c r="L887" s="416"/>
      <c r="M887" s="422"/>
      <c r="N887" s="417">
        <v>17616</v>
      </c>
      <c r="O887" s="184"/>
      <c r="P887" s="417">
        <v>17727</v>
      </c>
      <c r="Q887" s="184"/>
      <c r="R887" s="417">
        <v>26868.030000000002</v>
      </c>
      <c r="S887" s="470"/>
      <c r="T887" s="491">
        <v>33306.120000000003</v>
      </c>
      <c r="U887" s="492"/>
      <c r="V887" s="493"/>
      <c r="W887" s="494"/>
      <c r="X887" s="493"/>
      <c r="Y887" s="494"/>
      <c r="Z887" s="493"/>
      <c r="AA887" s="494"/>
      <c r="AC887" s="337"/>
      <c r="AD887" s="337"/>
      <c r="AE887" s="337"/>
      <c r="AF887" s="337"/>
    </row>
    <row r="888" spans="1:32" ht="18" thickBot="1" x14ac:dyDescent="0.4">
      <c r="A888" s="511"/>
      <c r="B888" s="412"/>
      <c r="C888" s="413" t="s">
        <v>283</v>
      </c>
      <c r="D888" s="372"/>
      <c r="E888" s="414"/>
      <c r="F888" s="372"/>
      <c r="G888" s="414"/>
      <c r="H888" s="372"/>
      <c r="I888" s="414"/>
      <c r="J888" s="372"/>
      <c r="K888" s="415"/>
      <c r="L888" s="416"/>
      <c r="M888" s="422"/>
      <c r="N888" s="206">
        <f>SUM(N885:N887)</f>
        <v>183035.68</v>
      </c>
      <c r="O888" s="281">
        <f>N888/60</f>
        <v>3050.5946666666664</v>
      </c>
      <c r="P888" s="206">
        <f>SUM(P885:P887)</f>
        <v>241524.08</v>
      </c>
      <c r="Q888" s="281">
        <f>P888/60</f>
        <v>4025.4013333333332</v>
      </c>
      <c r="R888" s="206">
        <f>SUM(R885:R887)</f>
        <v>333949.59000000003</v>
      </c>
      <c r="S888" s="470">
        <f>R888/60</f>
        <v>5565.8265000000001</v>
      </c>
      <c r="T888" s="206">
        <f>SUM(T885:T887)</f>
        <v>331967.71999999997</v>
      </c>
      <c r="U888" s="496">
        <f>T888/60</f>
        <v>5532.7953333333326</v>
      </c>
      <c r="V888" s="495">
        <f>SUM(V885:V887)</f>
        <v>0</v>
      </c>
      <c r="W888" s="497">
        <f>V888/60</f>
        <v>0</v>
      </c>
      <c r="X888" s="495">
        <f>SUM(X885:X887)</f>
        <v>0</v>
      </c>
      <c r="Y888" s="497">
        <f>X888/60</f>
        <v>0</v>
      </c>
      <c r="Z888" s="495">
        <f>SUM(Z885:Z887)</f>
        <v>0</v>
      </c>
      <c r="AA888" s="497">
        <f>Z888/60</f>
        <v>0</v>
      </c>
      <c r="AC888" s="337"/>
      <c r="AD888" s="337"/>
      <c r="AE888" s="337"/>
      <c r="AF888" s="337"/>
    </row>
    <row r="889" spans="1:32" ht="17.399999999999999" x14ac:dyDescent="0.35">
      <c r="A889" s="511"/>
      <c r="B889" s="412">
        <v>1104200</v>
      </c>
      <c r="C889" s="413" t="s">
        <v>26</v>
      </c>
      <c r="D889" s="372"/>
      <c r="E889" s="414"/>
      <c r="F889" s="372"/>
      <c r="G889" s="414"/>
      <c r="H889" s="372"/>
      <c r="I889" s="414"/>
      <c r="J889" s="372"/>
      <c r="K889" s="415"/>
      <c r="L889" s="416"/>
      <c r="M889" s="422"/>
      <c r="N889" s="420">
        <v>91789.36</v>
      </c>
      <c r="O889" s="184">
        <f>N889/60</f>
        <v>1529.8226666666667</v>
      </c>
      <c r="P889" s="420">
        <v>33</v>
      </c>
      <c r="Q889" s="184">
        <f>(P889+P872)/60</f>
        <v>633.67083333333335</v>
      </c>
      <c r="R889" s="420">
        <v>31661.340000000026</v>
      </c>
      <c r="S889" s="470">
        <f>R889/60+S872</f>
        <v>1025.7853333333337</v>
      </c>
      <c r="T889" s="418">
        <v>60536.36</v>
      </c>
      <c r="U889" s="415">
        <f>T889/60+U872</f>
        <v>1008.9393333333334</v>
      </c>
      <c r="V889" s="417"/>
      <c r="W889" s="184"/>
      <c r="X889" s="417"/>
      <c r="Y889" s="184"/>
      <c r="Z889" s="417"/>
      <c r="AA889" s="184"/>
      <c r="AC889" s="337"/>
      <c r="AD889" s="337"/>
      <c r="AE889" s="337"/>
      <c r="AF889" s="337"/>
    </row>
    <row r="890" spans="1:32" ht="17.399999999999999" x14ac:dyDescent="0.35">
      <c r="A890" s="511"/>
      <c r="B890" s="358">
        <v>110050</v>
      </c>
      <c r="C890" s="178" t="s">
        <v>274</v>
      </c>
      <c r="D890" s="372">
        <v>95098.28</v>
      </c>
      <c r="E890" s="281">
        <f>D890/60</f>
        <v>1584.9713333333334</v>
      </c>
      <c r="F890" s="372">
        <v>142327.5</v>
      </c>
      <c r="G890" s="281">
        <f>F890/60</f>
        <v>2372.125</v>
      </c>
      <c r="H890" s="372">
        <v>150523.96</v>
      </c>
      <c r="I890" s="281">
        <f>H890/60</f>
        <v>2508.7326666666663</v>
      </c>
      <c r="J890" s="372">
        <v>134640.28000000003</v>
      </c>
      <c r="K890" s="180">
        <f>J890/60</f>
        <v>2244.0046666666672</v>
      </c>
      <c r="L890" s="179">
        <v>105169.62</v>
      </c>
      <c r="M890" s="424">
        <f>L890/60</f>
        <v>1752.827</v>
      </c>
      <c r="N890" s="182">
        <v>117567.11999999998</v>
      </c>
      <c r="O890" s="180">
        <f>N890/60</f>
        <v>1959.4519999999998</v>
      </c>
      <c r="P890" s="182">
        <v>85229.8</v>
      </c>
      <c r="Q890" s="180">
        <f>P890/60</f>
        <v>1420.4966666666667</v>
      </c>
      <c r="R890" s="182">
        <v>103154.16000000003</v>
      </c>
      <c r="S890" s="470">
        <f>R890/60</f>
        <v>1719.2360000000006</v>
      </c>
      <c r="T890" s="183">
        <v>113049.86000000002</v>
      </c>
      <c r="U890" s="470">
        <f>T890/60</f>
        <v>1884.1643333333336</v>
      </c>
      <c r="V890" s="182"/>
      <c r="W890" s="184">
        <f>V890/60</f>
        <v>0</v>
      </c>
      <c r="X890" s="182"/>
      <c r="Y890" s="184">
        <f>X890/60</f>
        <v>0</v>
      </c>
      <c r="Z890" s="182"/>
      <c r="AA890" s="184">
        <f>Z890/60</f>
        <v>0</v>
      </c>
      <c r="AC890" s="337"/>
      <c r="AD890" s="337"/>
      <c r="AE890" s="339"/>
      <c r="AF890" s="337"/>
    </row>
    <row r="891" spans="1:32" ht="17.399999999999999" x14ac:dyDescent="0.35">
      <c r="A891" s="511"/>
      <c r="B891" s="358">
        <v>110051</v>
      </c>
      <c r="C891" s="178" t="s">
        <v>276</v>
      </c>
      <c r="D891" s="372">
        <v>55925.482000000004</v>
      </c>
      <c r="E891" s="281">
        <f t="shared" ref="E891:E892" si="187">D891/60</f>
        <v>932.09136666666677</v>
      </c>
      <c r="F891" s="372">
        <v>110164.546</v>
      </c>
      <c r="G891" s="281">
        <f>F891/60</f>
        <v>1836.0757666666666</v>
      </c>
      <c r="H891" s="372">
        <v>96142.494999999995</v>
      </c>
      <c r="I891" s="281">
        <f>H891/60</f>
        <v>1602.3749166666666</v>
      </c>
      <c r="J891" s="372">
        <v>86890.055999999953</v>
      </c>
      <c r="K891" s="180">
        <f>J891/60</f>
        <v>1448.1675999999993</v>
      </c>
      <c r="L891" s="179">
        <v>55339.536</v>
      </c>
      <c r="M891" s="424">
        <f>L891/60</f>
        <v>922.32560000000001</v>
      </c>
      <c r="N891" s="182">
        <v>90048.565999999992</v>
      </c>
      <c r="O891" s="180">
        <f>N891/60</f>
        <v>1500.8094333333331</v>
      </c>
      <c r="P891" s="182">
        <v>42958.061000000016</v>
      </c>
      <c r="Q891" s="180">
        <f>P891/60</f>
        <v>715.96768333333364</v>
      </c>
      <c r="R891" s="182">
        <v>77784.64800000003</v>
      </c>
      <c r="S891" s="470">
        <f>R891/60</f>
        <v>1296.4108000000006</v>
      </c>
      <c r="T891" s="183">
        <v>106587.94299999993</v>
      </c>
      <c r="U891" s="470">
        <f>T891/60</f>
        <v>1776.4657166666655</v>
      </c>
      <c r="V891" s="182"/>
      <c r="W891" s="184">
        <f>V891/60</f>
        <v>0</v>
      </c>
      <c r="X891" s="182"/>
      <c r="Y891" s="184">
        <f>X891/60</f>
        <v>0</v>
      </c>
      <c r="Z891" s="182"/>
      <c r="AA891" s="184">
        <f>Z891/60</f>
        <v>0</v>
      </c>
      <c r="AC891" s="337"/>
      <c r="AD891" s="337"/>
      <c r="AE891" s="337"/>
      <c r="AF891" s="337"/>
    </row>
    <row r="892" spans="1:32" ht="17.399999999999999" x14ac:dyDescent="0.35">
      <c r="A892" s="511"/>
      <c r="B892" s="358">
        <v>110015</v>
      </c>
      <c r="C892" s="178" t="s">
        <v>278</v>
      </c>
      <c r="D892" s="372">
        <v>66273.13</v>
      </c>
      <c r="E892" s="281">
        <f t="shared" si="187"/>
        <v>1104.5521666666668</v>
      </c>
      <c r="F892" s="372">
        <v>119406.5</v>
      </c>
      <c r="G892" s="281">
        <f t="shared" ref="G892" si="188">F892/60</f>
        <v>1990.1083333333333</v>
      </c>
      <c r="H892" s="372">
        <v>137329.85</v>
      </c>
      <c r="I892" s="308"/>
      <c r="J892" s="372">
        <v>104297.36000000003</v>
      </c>
      <c r="K892" s="185"/>
      <c r="L892" s="179">
        <v>79732.549999999959</v>
      </c>
      <c r="M892" s="425"/>
      <c r="N892" s="182">
        <v>94269.630000000019</v>
      </c>
      <c r="O892" s="185"/>
      <c r="P892" s="182">
        <v>71867.299999999988</v>
      </c>
      <c r="Q892" s="185"/>
      <c r="R892" s="182">
        <v>87225.159999999931</v>
      </c>
      <c r="S892" s="471"/>
      <c r="T892" s="183">
        <v>88165.84</v>
      </c>
      <c r="U892" s="471"/>
      <c r="V892" s="182"/>
      <c r="W892" s="185"/>
      <c r="X892" s="182"/>
      <c r="Y892" s="185"/>
      <c r="Z892" s="182"/>
      <c r="AA892" s="185"/>
      <c r="AC892" s="337"/>
      <c r="AD892" s="337"/>
      <c r="AE892" s="337"/>
      <c r="AF892" s="337"/>
    </row>
    <row r="893" spans="1:32" ht="18" thickBot="1" x14ac:dyDescent="0.4">
      <c r="A893" s="511"/>
      <c r="B893" s="358">
        <v>110011</v>
      </c>
      <c r="C893" s="178" t="s">
        <v>281</v>
      </c>
      <c r="D893" s="372">
        <v>36110.400000000001</v>
      </c>
      <c r="E893" s="281">
        <f>D893/60</f>
        <v>601.84</v>
      </c>
      <c r="F893" s="372">
        <v>56314.400000000001</v>
      </c>
      <c r="G893" s="281">
        <f>F893/60</f>
        <v>938.57333333333338</v>
      </c>
      <c r="H893" s="372">
        <v>63351.4</v>
      </c>
      <c r="I893" s="308"/>
      <c r="J893" s="372">
        <v>52454.400000000009</v>
      </c>
      <c r="K893" s="185"/>
      <c r="L893" s="179">
        <v>45019.400000000023</v>
      </c>
      <c r="M893" s="425"/>
      <c r="N893" s="182">
        <v>51801.000000000022</v>
      </c>
      <c r="O893" s="185"/>
      <c r="P893" s="182">
        <v>34880.000000000015</v>
      </c>
      <c r="Q893" s="185"/>
      <c r="R893" s="182">
        <v>45400.200000000004</v>
      </c>
      <c r="S893" s="471"/>
      <c r="T893" s="195">
        <v>55983.799999999988</v>
      </c>
      <c r="U893" s="498"/>
      <c r="V893" s="191"/>
      <c r="W893" s="499"/>
      <c r="X893" s="191"/>
      <c r="Y893" s="499"/>
      <c r="Z893" s="191"/>
      <c r="AA893" s="499"/>
      <c r="AC893" s="337"/>
      <c r="AD893" s="337"/>
      <c r="AE893" s="339"/>
      <c r="AF893" s="337"/>
    </row>
    <row r="894" spans="1:32" ht="18" thickBot="1" x14ac:dyDescent="0.4">
      <c r="A894" s="511"/>
      <c r="B894" s="358"/>
      <c r="C894" s="178" t="s">
        <v>283</v>
      </c>
      <c r="D894" s="206">
        <f>SUM(D892:D893)</f>
        <v>102383.53</v>
      </c>
      <c r="E894" s="281">
        <f>D894/60</f>
        <v>1706.3921666666668</v>
      </c>
      <c r="F894" s="206">
        <v>175720.9</v>
      </c>
      <c r="G894" s="281">
        <v>2928.6816666666664</v>
      </c>
      <c r="H894" s="206">
        <f>SUM(H892:H893)</f>
        <v>200681.25</v>
      </c>
      <c r="I894" s="281">
        <f>H894/60</f>
        <v>3344.6875</v>
      </c>
      <c r="J894" s="206">
        <f>SUM(J892:J893)</f>
        <v>156751.76000000004</v>
      </c>
      <c r="K894" s="180">
        <f t="shared" ref="K894" si="189">J894/60</f>
        <v>2612.5293333333339</v>
      </c>
      <c r="L894" s="206">
        <f>SUM(L892:L893)</f>
        <v>124751.94999999998</v>
      </c>
      <c r="M894" s="424">
        <f t="shared" ref="M894" si="190">L894/60</f>
        <v>2079.1991666666663</v>
      </c>
      <c r="N894" s="206">
        <f>SUM(N892:N893)</f>
        <v>146070.63000000003</v>
      </c>
      <c r="O894" s="180">
        <f t="shared" ref="O894:O895" si="191">N894/60</f>
        <v>2434.5105000000008</v>
      </c>
      <c r="P894" s="206">
        <f>SUM(P892:P893)</f>
        <v>106747.3</v>
      </c>
      <c r="Q894" s="180">
        <f t="shared" ref="Q894:Q900" si="192">P894/60</f>
        <v>1779.1216666666667</v>
      </c>
      <c r="R894" s="206">
        <f>SUM(R892:R893)</f>
        <v>132625.35999999993</v>
      </c>
      <c r="S894" s="470">
        <f t="shared" ref="S894:U894" si="193">R894/60</f>
        <v>2210.4226666666655</v>
      </c>
      <c r="T894" s="206">
        <f>SUM(T892:T893)</f>
        <v>144149.63999999998</v>
      </c>
      <c r="U894" s="496">
        <f t="shared" si="193"/>
        <v>2402.4939999999997</v>
      </c>
      <c r="V894" s="495">
        <f>SUM(V892:V893)</f>
        <v>0</v>
      </c>
      <c r="W894" s="501">
        <f t="shared" ref="W894" si="194">V894/60</f>
        <v>0</v>
      </c>
      <c r="X894" s="495">
        <f>SUM(X892:X893)</f>
        <v>0</v>
      </c>
      <c r="Y894" s="501">
        <f t="shared" ref="Y894" si="195">X894/60</f>
        <v>0</v>
      </c>
      <c r="Z894" s="495">
        <f>SUM(Z892:Z893)</f>
        <v>0</v>
      </c>
      <c r="AA894" s="501">
        <f t="shared" ref="AA894" si="196">Z894/60</f>
        <v>0</v>
      </c>
      <c r="AC894" s="337"/>
      <c r="AD894" s="337"/>
      <c r="AE894" s="337"/>
      <c r="AF894" s="337"/>
    </row>
    <row r="895" spans="1:32" ht="18" thickBot="1" x14ac:dyDescent="0.4">
      <c r="A895" s="511"/>
      <c r="B895" s="358">
        <v>1104100</v>
      </c>
      <c r="C895" s="178" t="s">
        <v>19</v>
      </c>
      <c r="D895" s="206"/>
      <c r="E895" s="281"/>
      <c r="F895" s="206"/>
      <c r="G895" s="281"/>
      <c r="H895" s="206"/>
      <c r="I895" s="281"/>
      <c r="J895" s="206"/>
      <c r="K895" s="180"/>
      <c r="L895" s="206"/>
      <c r="M895" s="424"/>
      <c r="N895" s="179">
        <v>116230.9040000005</v>
      </c>
      <c r="O895" s="180">
        <f t="shared" si="191"/>
        <v>1937.1817333333418</v>
      </c>
      <c r="P895" s="179">
        <v>85454.155999999886</v>
      </c>
      <c r="Q895" s="180">
        <f t="shared" si="192"/>
        <v>1424.2359333333313</v>
      </c>
      <c r="R895" s="179">
        <v>122121.84200000011</v>
      </c>
      <c r="S895" s="470">
        <f>R895/60</f>
        <v>2035.3640333333351</v>
      </c>
      <c r="T895" s="197">
        <v>94479</v>
      </c>
      <c r="U895" s="415">
        <f>T895/60</f>
        <v>1574.65</v>
      </c>
      <c r="V895" s="500"/>
      <c r="W895" s="184"/>
      <c r="X895" s="500"/>
      <c r="Y895" s="184"/>
      <c r="Z895" s="500"/>
      <c r="AA895" s="184"/>
      <c r="AC895" s="337"/>
      <c r="AD895" s="337"/>
      <c r="AE895" s="339"/>
      <c r="AF895" s="337"/>
    </row>
    <row r="896" spans="1:32" ht="17.399999999999999" x14ac:dyDescent="0.35">
      <c r="A896" s="511"/>
      <c r="B896" s="358">
        <v>110030</v>
      </c>
      <c r="C896" s="188" t="s">
        <v>285</v>
      </c>
      <c r="D896" s="372">
        <v>74921.38</v>
      </c>
      <c r="E896" s="205">
        <f t="shared" ref="E896:E900" si="197">D896/60</f>
        <v>1248.6896666666667</v>
      </c>
      <c r="F896" s="372">
        <v>61195.6</v>
      </c>
      <c r="G896" s="205">
        <f>F896/60</f>
        <v>1019.9266666666666</v>
      </c>
      <c r="H896" s="372">
        <v>60659.64</v>
      </c>
      <c r="I896" s="205">
        <f t="shared" ref="I896:I900" si="198">H896/60</f>
        <v>1010.994</v>
      </c>
      <c r="J896" s="372">
        <v>55162.520000000004</v>
      </c>
      <c r="K896" s="205">
        <f>J896/60</f>
        <v>919.3753333333334</v>
      </c>
      <c r="L896" s="179">
        <v>26240.46</v>
      </c>
      <c r="M896" s="426">
        <f t="shared" ref="M896:M900" si="199">L896/60</f>
        <v>437.34100000000001</v>
      </c>
      <c r="N896" s="182">
        <v>60933.45</v>
      </c>
      <c r="O896" s="189">
        <f>N896/60</f>
        <v>1015.5575</v>
      </c>
      <c r="P896" s="182">
        <v>28610.699999999997</v>
      </c>
      <c r="Q896" s="189">
        <f t="shared" si="192"/>
        <v>476.84499999999997</v>
      </c>
      <c r="R896" s="182">
        <v>51124.909999999989</v>
      </c>
      <c r="S896" s="472">
        <f t="shared" ref="S896:U900" si="200">R896/60</f>
        <v>852.08183333333318</v>
      </c>
      <c r="T896" s="183">
        <v>53411.10000000002</v>
      </c>
      <c r="U896" s="472">
        <f t="shared" si="200"/>
        <v>890.18500000000029</v>
      </c>
      <c r="V896" s="182"/>
      <c r="W896" s="189">
        <f t="shared" ref="W896:W900" si="201">V896/60</f>
        <v>0</v>
      </c>
      <c r="X896" s="182"/>
      <c r="Y896" s="189">
        <f t="shared" ref="Y896:Y900" si="202">X896/60</f>
        <v>0</v>
      </c>
      <c r="Z896" s="187"/>
      <c r="AA896" s="189">
        <f t="shared" ref="AA896:AA900" si="203">Z896/60</f>
        <v>0</v>
      </c>
      <c r="AC896" s="337"/>
      <c r="AD896" s="337"/>
      <c r="AE896" s="337"/>
      <c r="AF896" s="337"/>
    </row>
    <row r="897" spans="1:32" ht="17.399999999999999" x14ac:dyDescent="0.35">
      <c r="A897" s="511"/>
      <c r="B897" s="358">
        <v>110100</v>
      </c>
      <c r="C897" s="188" t="s">
        <v>287</v>
      </c>
      <c r="D897" s="372">
        <v>125435</v>
      </c>
      <c r="E897" s="205">
        <f t="shared" si="197"/>
        <v>2090.5833333333335</v>
      </c>
      <c r="F897" s="372">
        <v>186939</v>
      </c>
      <c r="G897" s="205">
        <f t="shared" ref="G897:G900" si="204">F897/60</f>
        <v>3115.65</v>
      </c>
      <c r="H897" s="372">
        <v>210877</v>
      </c>
      <c r="I897" s="205">
        <f t="shared" si="198"/>
        <v>3514.6166666666668</v>
      </c>
      <c r="J897" s="372">
        <v>187053</v>
      </c>
      <c r="K897" s="189">
        <f t="shared" ref="K897:K900" si="205">J897/60</f>
        <v>3117.55</v>
      </c>
      <c r="L897" s="179">
        <v>177392</v>
      </c>
      <c r="M897" s="426">
        <f t="shared" si="199"/>
        <v>2956.5333333333333</v>
      </c>
      <c r="N897" s="182">
        <v>209404</v>
      </c>
      <c r="O897" s="189">
        <f>N897/60</f>
        <v>3490.0666666666666</v>
      </c>
      <c r="P897" s="182">
        <v>143101</v>
      </c>
      <c r="Q897" s="189">
        <f t="shared" si="192"/>
        <v>2385.0166666666669</v>
      </c>
      <c r="R897" s="182">
        <v>183022</v>
      </c>
      <c r="S897" s="472">
        <f t="shared" si="200"/>
        <v>3050.3666666666668</v>
      </c>
      <c r="T897" s="183">
        <v>223315</v>
      </c>
      <c r="U897" s="472">
        <f t="shared" si="200"/>
        <v>3721.9166666666665</v>
      </c>
      <c r="V897" s="182"/>
      <c r="W897" s="189">
        <f t="shared" si="201"/>
        <v>0</v>
      </c>
      <c r="X897" s="182"/>
      <c r="Y897" s="189">
        <f t="shared" si="202"/>
        <v>0</v>
      </c>
      <c r="Z897" s="182"/>
      <c r="AA897" s="189">
        <f t="shared" si="203"/>
        <v>0</v>
      </c>
      <c r="AC897" s="337"/>
      <c r="AD897" s="337"/>
      <c r="AE897" s="339"/>
      <c r="AF897" s="337"/>
    </row>
    <row r="898" spans="1:32" ht="17.399999999999999" x14ac:dyDescent="0.35">
      <c r="A898" s="511"/>
      <c r="B898" s="358">
        <v>110110</v>
      </c>
      <c r="C898" s="190" t="s">
        <v>289</v>
      </c>
      <c r="D898" s="372">
        <v>291894</v>
      </c>
      <c r="E898" s="205">
        <f t="shared" si="197"/>
        <v>4864.8999999999996</v>
      </c>
      <c r="F898" s="372">
        <v>468510</v>
      </c>
      <c r="G898" s="205">
        <f t="shared" si="204"/>
        <v>7808.5</v>
      </c>
      <c r="H898" s="372">
        <v>561192</v>
      </c>
      <c r="I898" s="309">
        <f t="shared" si="198"/>
        <v>9353.2000000000007</v>
      </c>
      <c r="J898" s="372">
        <v>491073</v>
      </c>
      <c r="K898" s="193">
        <f t="shared" si="205"/>
        <v>8184.55</v>
      </c>
      <c r="L898" s="192">
        <v>389975</v>
      </c>
      <c r="M898" s="427">
        <f t="shared" si="199"/>
        <v>6499.583333333333</v>
      </c>
      <c r="N898" s="191">
        <v>479958</v>
      </c>
      <c r="O898" s="193">
        <f>N898/60</f>
        <v>7999.3</v>
      </c>
      <c r="P898" s="191">
        <v>321909</v>
      </c>
      <c r="Q898" s="193">
        <f t="shared" si="192"/>
        <v>5365.15</v>
      </c>
      <c r="R898" s="191">
        <v>463339</v>
      </c>
      <c r="S898" s="472">
        <f t="shared" si="200"/>
        <v>7722.3166666666666</v>
      </c>
      <c r="T898" s="195">
        <v>508443</v>
      </c>
      <c r="U898" s="472">
        <f t="shared" si="200"/>
        <v>8474.0499999999993</v>
      </c>
      <c r="V898" s="191"/>
      <c r="W898" s="193">
        <f t="shared" si="201"/>
        <v>0</v>
      </c>
      <c r="X898" s="191"/>
      <c r="Y898" s="193">
        <f t="shared" si="202"/>
        <v>0</v>
      </c>
      <c r="Z898" s="191"/>
      <c r="AA898" s="193">
        <f t="shared" si="203"/>
        <v>0</v>
      </c>
      <c r="AC898" s="337"/>
      <c r="AD898" s="337"/>
      <c r="AE898" s="337"/>
      <c r="AF898" s="337"/>
    </row>
    <row r="899" spans="1:32" ht="17.399999999999999" x14ac:dyDescent="0.35">
      <c r="A899" s="511"/>
      <c r="B899" s="358">
        <v>110060</v>
      </c>
      <c r="C899" s="190" t="s">
        <v>291</v>
      </c>
      <c r="D899" s="372">
        <v>31265.64</v>
      </c>
      <c r="E899" s="205">
        <f t="shared" si="197"/>
        <v>521.09399999999994</v>
      </c>
      <c r="F899" s="372">
        <v>51495.199999999997</v>
      </c>
      <c r="G899" s="205">
        <f t="shared" si="204"/>
        <v>858.25333333333333</v>
      </c>
      <c r="H899" s="372">
        <v>61745.94</v>
      </c>
      <c r="I899" s="309">
        <f t="shared" si="198"/>
        <v>1029.0989999999999</v>
      </c>
      <c r="J899" s="372">
        <v>44311.280000000021</v>
      </c>
      <c r="K899" s="193">
        <f t="shared" si="205"/>
        <v>738.5213333333337</v>
      </c>
      <c r="L899" s="179">
        <v>40948.400000000009</v>
      </c>
      <c r="M899" s="427">
        <f t="shared" si="199"/>
        <v>682.47333333333347</v>
      </c>
      <c r="N899" s="179">
        <v>47734.840000000026</v>
      </c>
      <c r="O899" s="193">
        <f>N899/60</f>
        <v>795.58066666666707</v>
      </c>
      <c r="P899" s="179">
        <v>34554.699999999968</v>
      </c>
      <c r="Q899" s="193">
        <f t="shared" si="192"/>
        <v>575.91166666666618</v>
      </c>
      <c r="R899" s="179">
        <v>45918.89999999998</v>
      </c>
      <c r="S899" s="472">
        <f t="shared" si="200"/>
        <v>765.31499999999971</v>
      </c>
      <c r="T899" s="466">
        <v>65615.220000000045</v>
      </c>
      <c r="U899" s="472">
        <f t="shared" si="200"/>
        <v>1093.5870000000007</v>
      </c>
      <c r="V899" s="343"/>
      <c r="W899" s="193">
        <f t="shared" si="201"/>
        <v>0</v>
      </c>
      <c r="X899" s="359"/>
      <c r="Y899" s="360">
        <f t="shared" si="202"/>
        <v>0</v>
      </c>
      <c r="Z899" s="359"/>
      <c r="AA899" s="189">
        <f t="shared" si="203"/>
        <v>0</v>
      </c>
      <c r="AC899" s="337"/>
      <c r="AD899" s="337"/>
      <c r="AE899" s="339"/>
      <c r="AF899" s="337"/>
    </row>
    <row r="900" spans="1:32" ht="18" thickBot="1" x14ac:dyDescent="0.4">
      <c r="A900" s="511"/>
      <c r="B900" s="361">
        <v>110111</v>
      </c>
      <c r="C900" s="371" t="s">
        <v>292</v>
      </c>
      <c r="D900" s="373">
        <v>70826</v>
      </c>
      <c r="E900" s="310">
        <f t="shared" si="197"/>
        <v>1180.4333333333334</v>
      </c>
      <c r="F900" s="373">
        <v>74846</v>
      </c>
      <c r="G900" s="310">
        <f t="shared" si="204"/>
        <v>1247.4333333333334</v>
      </c>
      <c r="H900" s="373">
        <v>117541</v>
      </c>
      <c r="I900" s="310">
        <f t="shared" si="198"/>
        <v>1959.0166666666667</v>
      </c>
      <c r="J900" s="373">
        <v>91449</v>
      </c>
      <c r="K900" s="198">
        <f t="shared" si="205"/>
        <v>1524.15</v>
      </c>
      <c r="L900" s="197">
        <v>90315</v>
      </c>
      <c r="M900" s="428">
        <f t="shared" si="199"/>
        <v>1505.25</v>
      </c>
      <c r="N900" s="197">
        <v>125456</v>
      </c>
      <c r="O900" s="198">
        <f>N900/60</f>
        <v>2090.9333333333334</v>
      </c>
      <c r="P900" s="197">
        <v>94479</v>
      </c>
      <c r="Q900" s="198">
        <f t="shared" si="192"/>
        <v>1574.65</v>
      </c>
      <c r="R900" s="197">
        <v>100620</v>
      </c>
      <c r="S900" s="473">
        <f t="shared" si="200"/>
        <v>1677</v>
      </c>
      <c r="T900" s="467">
        <v>220001</v>
      </c>
      <c r="U900" s="473">
        <f t="shared" si="200"/>
        <v>3666.6833333333334</v>
      </c>
      <c r="V900" s="200"/>
      <c r="W900" s="198">
        <f t="shared" si="201"/>
        <v>0</v>
      </c>
      <c r="X900" s="200"/>
      <c r="Y900" s="202">
        <f t="shared" si="202"/>
        <v>0</v>
      </c>
      <c r="Z900" s="200"/>
      <c r="AA900" s="198">
        <f t="shared" si="203"/>
        <v>0</v>
      </c>
      <c r="AC900" s="337"/>
      <c r="AD900" s="337"/>
      <c r="AE900" s="337"/>
      <c r="AF900" s="337"/>
    </row>
    <row r="901" spans="1:32" x14ac:dyDescent="0.3">
      <c r="A901" s="511"/>
      <c r="B901" s="93"/>
      <c r="C901" s="93"/>
      <c r="D901" s="93"/>
      <c r="E901" s="93"/>
      <c r="F901" s="286"/>
      <c r="G901" s="93"/>
      <c r="H901" s="208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252"/>
      <c r="U901" s="93"/>
      <c r="V901" s="93"/>
      <c r="W901" s="93"/>
      <c r="X901" s="93"/>
      <c r="Y901" s="93"/>
      <c r="Z901" s="93"/>
      <c r="AA901" s="93"/>
    </row>
    <row r="902" spans="1:32" x14ac:dyDescent="0.3">
      <c r="A902" s="511"/>
      <c r="B902" s="93"/>
      <c r="C902" s="93"/>
      <c r="D902" s="93"/>
      <c r="E902" s="93"/>
      <c r="F902" s="286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252"/>
      <c r="U902" s="93"/>
      <c r="V902" s="93"/>
      <c r="W902" s="93"/>
      <c r="X902" s="93"/>
      <c r="Y902" s="93"/>
      <c r="Z902" s="93"/>
      <c r="AA902" s="93"/>
    </row>
    <row r="903" spans="1:32" x14ac:dyDescent="0.3">
      <c r="A903" s="511"/>
      <c r="B903" s="93"/>
      <c r="F903" s="90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252"/>
      <c r="U903" s="93"/>
      <c r="V903" s="93"/>
      <c r="W903" s="93"/>
      <c r="X903" s="93"/>
      <c r="Y903" s="93"/>
      <c r="Z903" s="93"/>
      <c r="AA903" s="93"/>
    </row>
    <row r="904" spans="1:32" x14ac:dyDescent="0.3">
      <c r="A904" s="511"/>
      <c r="B904" s="93"/>
      <c r="F904" s="369"/>
      <c r="G904" s="419"/>
      <c r="H904" s="252"/>
      <c r="I904" s="93"/>
      <c r="J904" s="379"/>
      <c r="K904" s="380"/>
      <c r="N904" s="93"/>
      <c r="O904" s="93"/>
      <c r="P904" s="252"/>
      <c r="Q904" s="252"/>
      <c r="R904" s="252"/>
      <c r="S904" s="464"/>
      <c r="T904" s="252"/>
      <c r="U904" s="463"/>
      <c r="V904" s="419"/>
      <c r="W904" s="380"/>
      <c r="X904" s="93"/>
      <c r="Y904" s="93"/>
      <c r="Z904" s="93"/>
      <c r="AA904" s="93"/>
    </row>
    <row r="905" spans="1:32" x14ac:dyDescent="0.3">
      <c r="A905" s="511"/>
      <c r="B905" s="93"/>
      <c r="F905" s="369"/>
      <c r="G905" s="419"/>
      <c r="H905" s="252"/>
      <c r="I905" s="93"/>
      <c r="O905" s="302"/>
      <c r="P905" s="252"/>
      <c r="Q905" s="252"/>
      <c r="R905" s="369"/>
      <c r="T905" s="252"/>
      <c r="V905" s="419"/>
      <c r="W905" s="419"/>
      <c r="X905" s="93"/>
      <c r="Y905" s="93"/>
      <c r="Z905" s="93"/>
      <c r="AA905" s="93"/>
    </row>
    <row r="906" spans="1:32" ht="15.6" x14ac:dyDescent="0.3">
      <c r="A906" s="511"/>
      <c r="B906" s="93"/>
      <c r="D906" s="440"/>
      <c r="F906" s="369"/>
      <c r="G906" s="419"/>
      <c r="H906" s="252"/>
      <c r="O906" s="369"/>
      <c r="P906" s="252"/>
      <c r="Q906" s="252"/>
      <c r="R906" s="369"/>
      <c r="T906" s="252"/>
      <c r="U906" s="463"/>
      <c r="V906" s="419"/>
      <c r="W906" s="419"/>
      <c r="X906" s="93"/>
      <c r="Y906" s="93"/>
      <c r="Z906" s="93"/>
      <c r="AA906" s="93"/>
    </row>
    <row r="907" spans="1:32" ht="15.6" x14ac:dyDescent="0.3">
      <c r="A907" s="511"/>
      <c r="B907" s="93"/>
      <c r="D907" s="440"/>
      <c r="F907" s="369"/>
      <c r="G907" s="419"/>
      <c r="H907" s="252"/>
      <c r="I907" s="93"/>
      <c r="O907" s="369"/>
      <c r="P907" s="252"/>
      <c r="Q907" s="252"/>
      <c r="R907" s="369"/>
      <c r="T907" s="93"/>
      <c r="V907" s="419"/>
      <c r="W907" s="419"/>
      <c r="X907" s="93"/>
      <c r="Y907" s="93"/>
      <c r="Z907" s="93"/>
      <c r="AA907" s="93"/>
    </row>
    <row r="908" spans="1:32" ht="15.6" x14ac:dyDescent="0.3">
      <c r="A908" s="511"/>
      <c r="B908" s="93"/>
      <c r="D908" s="441"/>
      <c r="F908" s="369"/>
      <c r="G908" s="419"/>
      <c r="H908" s="252"/>
      <c r="I908" s="93"/>
      <c r="O908" s="369"/>
      <c r="P908" s="252"/>
      <c r="Q908" s="252"/>
      <c r="R908" s="369"/>
      <c r="T908" s="93"/>
      <c r="V908" s="419"/>
      <c r="W908" s="419"/>
      <c r="X908" s="93"/>
      <c r="Y908" s="93"/>
      <c r="Z908" s="93"/>
      <c r="AA908" s="93"/>
    </row>
    <row r="909" spans="1:32" ht="15.6" x14ac:dyDescent="0.3">
      <c r="A909" s="511"/>
      <c r="B909" s="93"/>
      <c r="D909" s="440"/>
      <c r="F909" s="369"/>
      <c r="G909" s="419"/>
      <c r="H909" s="252"/>
      <c r="J909" s="370"/>
      <c r="K909" s="93"/>
      <c r="O909" s="369"/>
      <c r="P909" s="252"/>
      <c r="Q909" s="252"/>
      <c r="R909" s="369"/>
      <c r="T909" s="93"/>
      <c r="V909" s="419"/>
      <c r="W909" s="419"/>
      <c r="X909" s="93"/>
      <c r="Y909" s="93"/>
      <c r="Z909" s="93"/>
      <c r="AA909" s="93"/>
    </row>
    <row r="910" spans="1:32" ht="15.6" x14ac:dyDescent="0.3">
      <c r="A910" s="511"/>
      <c r="B910" s="93"/>
      <c r="D910" s="440"/>
      <c r="F910" s="369"/>
      <c r="G910" s="419"/>
      <c r="H910" s="252"/>
      <c r="I910" s="93"/>
      <c r="O910" s="369"/>
      <c r="P910" s="252"/>
      <c r="Q910" s="252"/>
      <c r="R910" s="369"/>
      <c r="T910" s="93"/>
      <c r="V910" s="419"/>
      <c r="W910" s="419"/>
      <c r="X910" s="93"/>
      <c r="Y910" s="93"/>
      <c r="Z910" s="93"/>
      <c r="AA910" s="93"/>
    </row>
    <row r="911" spans="1:32" ht="15.6" x14ac:dyDescent="0.3">
      <c r="A911" s="511"/>
      <c r="B911" s="93"/>
      <c r="D911" s="440"/>
      <c r="F911" s="369"/>
      <c r="G911" s="419"/>
      <c r="H911" s="252"/>
      <c r="N911" s="93"/>
      <c r="O911" s="369"/>
      <c r="P911" s="252"/>
      <c r="Q911" s="252"/>
      <c r="R911" s="369"/>
      <c r="T911" s="93"/>
      <c r="V911" s="419"/>
      <c r="W911" s="419"/>
      <c r="X911" s="93"/>
      <c r="Y911" s="93"/>
      <c r="Z911" s="93"/>
      <c r="AA911" s="93"/>
    </row>
    <row r="912" spans="1:32" x14ac:dyDescent="0.3">
      <c r="A912" s="511"/>
      <c r="B912" s="93"/>
      <c r="F912" s="90"/>
      <c r="H912" s="302"/>
      <c r="N912" s="93"/>
      <c r="O912" s="369"/>
      <c r="P912" s="252"/>
      <c r="Q912" s="252"/>
      <c r="R912" s="369"/>
      <c r="T912" s="93"/>
      <c r="V912" s="419"/>
      <c r="W912" s="380"/>
      <c r="X912" s="93"/>
      <c r="Y912" s="93"/>
      <c r="Z912" s="93"/>
      <c r="AA912" s="93"/>
    </row>
    <row r="913" spans="1:37" x14ac:dyDescent="0.3">
      <c r="A913" s="511"/>
      <c r="B913" s="93"/>
      <c r="F913" s="369"/>
      <c r="G913" s="419"/>
      <c r="H913" s="252"/>
      <c r="I913" s="93"/>
      <c r="N913" s="93"/>
      <c r="O913" s="369"/>
      <c r="P913" s="252"/>
      <c r="Q913" s="252"/>
      <c r="R913" s="369"/>
      <c r="T913" s="93"/>
      <c r="V913" s="419"/>
      <c r="W913" s="419"/>
      <c r="X913" s="93"/>
      <c r="Y913" s="93"/>
      <c r="Z913" s="93"/>
      <c r="AA913" s="93"/>
    </row>
    <row r="914" spans="1:37" x14ac:dyDescent="0.3">
      <c r="A914" s="511"/>
      <c r="B914" s="93"/>
      <c r="F914" s="369"/>
      <c r="G914" s="419"/>
      <c r="H914" s="252"/>
      <c r="I914" s="93"/>
      <c r="N914" s="93"/>
      <c r="O914" s="369"/>
      <c r="P914" s="252"/>
      <c r="Q914" s="252"/>
      <c r="R914" s="369"/>
      <c r="T914" s="93"/>
      <c r="V914" s="419"/>
      <c r="W914" s="419"/>
      <c r="X914" s="93"/>
      <c r="Y914" s="93"/>
      <c r="Z914" s="93"/>
      <c r="AA914" s="93"/>
    </row>
    <row r="915" spans="1:37" x14ac:dyDescent="0.3">
      <c r="A915" s="511"/>
      <c r="B915" s="93"/>
      <c r="F915" s="369"/>
      <c r="G915" s="419"/>
      <c r="H915" s="252"/>
      <c r="I915" s="93"/>
      <c r="N915" s="93"/>
      <c r="O915" s="369"/>
      <c r="P915" s="252"/>
      <c r="Q915" s="252"/>
      <c r="R915" s="369"/>
      <c r="T915" s="93"/>
      <c r="V915" s="419"/>
      <c r="W915" s="419"/>
      <c r="X915" s="93"/>
      <c r="Y915" s="93"/>
      <c r="Z915" s="93"/>
      <c r="AA915" s="93"/>
    </row>
    <row r="916" spans="1:37" x14ac:dyDescent="0.3">
      <c r="A916" s="511"/>
      <c r="B916" s="93"/>
      <c r="F916" s="369"/>
      <c r="G916" s="419"/>
      <c r="H916" s="252"/>
      <c r="I916" s="93"/>
      <c r="O916" s="369"/>
      <c r="P916" s="252"/>
      <c r="Q916" s="252"/>
      <c r="R916" s="369"/>
      <c r="T916" s="93"/>
      <c r="V916" s="419"/>
      <c r="W916" s="419"/>
      <c r="X916" s="93"/>
      <c r="Y916" s="93"/>
      <c r="Z916" s="93"/>
      <c r="AA916" s="93"/>
    </row>
    <row r="917" spans="1:37" x14ac:dyDescent="0.3">
      <c r="A917" s="511"/>
      <c r="B917" s="93"/>
      <c r="F917" s="369"/>
      <c r="G917" s="419"/>
      <c r="H917" s="252"/>
      <c r="I917" s="93"/>
      <c r="O917" s="369"/>
      <c r="P917" s="252"/>
      <c r="Q917" s="252"/>
      <c r="R917" s="369"/>
      <c r="T917" s="93"/>
      <c r="V917" s="419"/>
      <c r="W917" s="419"/>
      <c r="X917" s="93"/>
      <c r="Y917" s="93"/>
      <c r="Z917" s="93"/>
      <c r="AA917" s="93"/>
    </row>
    <row r="918" spans="1:37" x14ac:dyDescent="0.3">
      <c r="A918" s="511"/>
      <c r="B918" s="93"/>
      <c r="F918" s="369"/>
      <c r="G918" s="419"/>
      <c r="H918" s="252"/>
      <c r="I918" s="93"/>
      <c r="N918" s="93"/>
      <c r="O918" s="369"/>
      <c r="P918" s="252"/>
      <c r="Q918" s="252"/>
      <c r="R918" s="369"/>
      <c r="T918" s="93"/>
      <c r="V918" s="419"/>
      <c r="W918" s="380"/>
      <c r="X918" s="93"/>
      <c r="Y918" s="93"/>
      <c r="Z918" s="93"/>
      <c r="AA918" s="93"/>
    </row>
    <row r="919" spans="1:37" x14ac:dyDescent="0.3">
      <c r="A919" s="511"/>
      <c r="B919" s="93"/>
      <c r="C919" s="93"/>
      <c r="D919" s="93"/>
      <c r="E919" s="93"/>
      <c r="F919" s="369"/>
      <c r="G919" s="419"/>
      <c r="H919" s="252"/>
      <c r="I919" s="93"/>
      <c r="O919" s="369"/>
      <c r="P919" s="252"/>
      <c r="Q919" s="252"/>
      <c r="R919" s="369"/>
      <c r="T919" s="93"/>
      <c r="V919" s="419"/>
      <c r="W919" s="419"/>
      <c r="X919" s="93"/>
      <c r="Y919" s="93"/>
      <c r="Z919" s="93"/>
      <c r="AA919" s="93"/>
    </row>
    <row r="920" spans="1:37" x14ac:dyDescent="0.3">
      <c r="A920" s="511"/>
      <c r="B920" s="93"/>
      <c r="C920" s="93"/>
      <c r="D920" s="93"/>
      <c r="E920" s="93"/>
      <c r="F920" s="286"/>
      <c r="G920" s="93"/>
      <c r="H920" s="252"/>
      <c r="I920" s="93"/>
      <c r="J920" s="93"/>
      <c r="K920" s="93"/>
      <c r="O920" s="369"/>
      <c r="P920" s="252"/>
      <c r="Q920" s="252"/>
      <c r="R920" s="369"/>
      <c r="T920" s="93"/>
      <c r="V920" s="419"/>
      <c r="W920" s="419"/>
      <c r="X920" s="93"/>
      <c r="Y920" s="93"/>
      <c r="Z920" s="93"/>
      <c r="AA920" s="93"/>
    </row>
    <row r="921" spans="1:37" x14ac:dyDescent="0.3">
      <c r="A921" s="511"/>
      <c r="B921" s="93"/>
      <c r="C921" s="93"/>
      <c r="D921" s="93"/>
      <c r="E921" s="93"/>
      <c r="F921" s="90"/>
      <c r="H921" s="302"/>
      <c r="I921" s="93"/>
      <c r="J921" s="93"/>
      <c r="K921" s="93"/>
      <c r="O921" s="369"/>
      <c r="P921" s="252"/>
      <c r="Q921" s="252"/>
      <c r="R921" s="369"/>
      <c r="T921" s="93"/>
      <c r="V921" s="419"/>
      <c r="W921" s="419"/>
      <c r="X921" s="93"/>
      <c r="Y921" s="93"/>
      <c r="Z921" s="93"/>
      <c r="AA921" s="93"/>
    </row>
    <row r="922" spans="1:37" x14ac:dyDescent="0.3">
      <c r="A922" s="511"/>
      <c r="B922" s="93"/>
      <c r="C922" s="93"/>
      <c r="D922" s="93"/>
      <c r="E922" s="93"/>
      <c r="F922" s="90"/>
      <c r="H922" s="302"/>
      <c r="I922" s="93"/>
      <c r="J922" s="93"/>
      <c r="K922" s="93"/>
      <c r="L922" s="93"/>
      <c r="O922" s="369"/>
      <c r="P922" s="252"/>
      <c r="Q922" s="252"/>
      <c r="R922" s="369"/>
      <c r="T922" s="93"/>
      <c r="V922" s="419"/>
      <c r="W922" s="419"/>
      <c r="X922" s="93"/>
      <c r="Y922" s="93"/>
      <c r="Z922" s="93"/>
      <c r="AA922" s="93"/>
    </row>
    <row r="923" spans="1:37" x14ac:dyDescent="0.3">
      <c r="A923" s="511"/>
      <c r="B923" s="93"/>
      <c r="C923" s="93"/>
      <c r="D923" s="93"/>
      <c r="E923" s="93"/>
      <c r="F923" s="90"/>
      <c r="H923" s="302"/>
      <c r="I923" s="93"/>
      <c r="J923" s="93"/>
      <c r="K923" s="93"/>
      <c r="L923" s="93"/>
      <c r="O923" s="369"/>
      <c r="P923" s="252"/>
      <c r="Q923" s="252"/>
      <c r="R923" s="252"/>
      <c r="S923" s="464"/>
      <c r="T923" s="93"/>
      <c r="U923" s="463"/>
      <c r="V923" s="419"/>
      <c r="W923" s="419"/>
      <c r="X923" s="93"/>
      <c r="Y923" s="93"/>
      <c r="Z923" s="93"/>
      <c r="AA923" s="93"/>
    </row>
    <row r="924" spans="1:37" x14ac:dyDescent="0.3">
      <c r="A924" s="511"/>
      <c r="B924" s="93"/>
      <c r="C924" s="93"/>
      <c r="D924" s="93"/>
      <c r="E924" s="93"/>
      <c r="F924" s="90"/>
      <c r="H924" s="302"/>
      <c r="I924" s="93"/>
      <c r="J924" s="93"/>
      <c r="K924" s="93"/>
      <c r="L924" s="93"/>
      <c r="O924" s="369"/>
      <c r="P924" s="252"/>
      <c r="Q924" s="252"/>
      <c r="R924" s="252"/>
      <c r="T924" s="93"/>
      <c r="U924" s="463"/>
      <c r="V924" s="419"/>
      <c r="W924" s="419"/>
      <c r="X924" s="93"/>
      <c r="Y924" s="93"/>
      <c r="Z924" s="93"/>
      <c r="AA924" s="93"/>
    </row>
    <row r="925" spans="1:37" x14ac:dyDescent="0.3">
      <c r="A925" s="511"/>
      <c r="B925" s="93"/>
      <c r="C925" s="93"/>
      <c r="D925" s="93"/>
      <c r="E925" s="93"/>
      <c r="F925" s="286"/>
      <c r="G925" s="93"/>
      <c r="H925" s="252"/>
      <c r="I925" s="93"/>
      <c r="J925" s="93"/>
      <c r="K925" s="93"/>
      <c r="L925" s="93"/>
      <c r="O925" s="369"/>
      <c r="P925" s="252"/>
      <c r="Q925" s="252"/>
      <c r="R925" s="252"/>
      <c r="T925" s="93"/>
      <c r="U925" s="93"/>
      <c r="V925" s="93"/>
      <c r="W925" s="93"/>
      <c r="X925" s="93"/>
      <c r="Y925" s="93"/>
      <c r="Z925" s="93"/>
      <c r="AA925" s="93"/>
    </row>
    <row r="926" spans="1:37" s="96" customFormat="1" ht="15" thickBot="1" x14ac:dyDescent="0.35">
      <c r="A926" s="512"/>
      <c r="F926" s="295"/>
      <c r="H926" s="421"/>
      <c r="P926" s="421"/>
      <c r="Q926" s="421"/>
      <c r="R926" s="421"/>
      <c r="AK926" s="362"/>
    </row>
  </sheetData>
  <mergeCells count="190">
    <mergeCell ref="V650:W650"/>
    <mergeCell ref="X650:Y650"/>
    <mergeCell ref="Z650:AA650"/>
    <mergeCell ref="B663:AA663"/>
    <mergeCell ref="B664:C664"/>
    <mergeCell ref="AC603:AF603"/>
    <mergeCell ref="AH603:AK603"/>
    <mergeCell ref="A603:A710"/>
    <mergeCell ref="B603:E603"/>
    <mergeCell ref="G603:J603"/>
    <mergeCell ref="L603:O603"/>
    <mergeCell ref="Q603:T603"/>
    <mergeCell ref="D650:E650"/>
    <mergeCell ref="F650:G650"/>
    <mergeCell ref="H650:I650"/>
    <mergeCell ref="J650:K650"/>
    <mergeCell ref="L650:M650"/>
    <mergeCell ref="N650:O650"/>
    <mergeCell ref="P650:Q650"/>
    <mergeCell ref="R650:S650"/>
    <mergeCell ref="T650:U650"/>
    <mergeCell ref="A493:A602"/>
    <mergeCell ref="B493:E493"/>
    <mergeCell ref="G493:J493"/>
    <mergeCell ref="L493:O493"/>
    <mergeCell ref="Q493:T493"/>
    <mergeCell ref="D540:E540"/>
    <mergeCell ref="F540:G540"/>
    <mergeCell ref="H540:I540"/>
    <mergeCell ref="J540:K540"/>
    <mergeCell ref="L540:M540"/>
    <mergeCell ref="N540:O540"/>
    <mergeCell ref="P540:Q540"/>
    <mergeCell ref="R540:S540"/>
    <mergeCell ref="T540:U540"/>
    <mergeCell ref="V540:W540"/>
    <mergeCell ref="X540:Y540"/>
    <mergeCell ref="Z540:AA540"/>
    <mergeCell ref="B553:AA553"/>
    <mergeCell ref="B554:C554"/>
    <mergeCell ref="V394:Y394"/>
    <mergeCell ref="AC394:AF394"/>
    <mergeCell ref="AH394:AK394"/>
    <mergeCell ref="D441:E441"/>
    <mergeCell ref="F441:G441"/>
    <mergeCell ref="H441:I441"/>
    <mergeCell ref="J441:K441"/>
    <mergeCell ref="L441:M441"/>
    <mergeCell ref="N441:O441"/>
    <mergeCell ref="P441:Q441"/>
    <mergeCell ref="R441:S441"/>
    <mergeCell ref="T441:U441"/>
    <mergeCell ref="V441:W441"/>
    <mergeCell ref="X441:Y441"/>
    <mergeCell ref="Z441:AA441"/>
    <mergeCell ref="A394:A492"/>
    <mergeCell ref="B394:E394"/>
    <mergeCell ref="G394:J394"/>
    <mergeCell ref="L394:O394"/>
    <mergeCell ref="Q394:T394"/>
    <mergeCell ref="B454:AA454"/>
    <mergeCell ref="B455:C455"/>
    <mergeCell ref="AH1:AK1"/>
    <mergeCell ref="A1:A97"/>
    <mergeCell ref="A99:A195"/>
    <mergeCell ref="V99:Y99"/>
    <mergeCell ref="AC99:AF99"/>
    <mergeCell ref="D146:E146"/>
    <mergeCell ref="F146:G146"/>
    <mergeCell ref="H146:I146"/>
    <mergeCell ref="J146:K146"/>
    <mergeCell ref="L146:M146"/>
    <mergeCell ref="N146:O146"/>
    <mergeCell ref="P146:Q146"/>
    <mergeCell ref="R146:S146"/>
    <mergeCell ref="T146:U146"/>
    <mergeCell ref="V146:W146"/>
    <mergeCell ref="X146:Y146"/>
    <mergeCell ref="B159:AA159"/>
    <mergeCell ref="B160:C160"/>
    <mergeCell ref="Q1:T1"/>
    <mergeCell ref="V1:Y1"/>
    <mergeCell ref="V48:W48"/>
    <mergeCell ref="X48:Y48"/>
    <mergeCell ref="Z48:AA48"/>
    <mergeCell ref="B61:AA61"/>
    <mergeCell ref="B62:C62"/>
    <mergeCell ref="Z146:AA146"/>
    <mergeCell ref="B99:E99"/>
    <mergeCell ref="G99:J99"/>
    <mergeCell ref="L99:O99"/>
    <mergeCell ref="Q99:T99"/>
    <mergeCell ref="AC1:AF1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B1:E1"/>
    <mergeCell ref="G1:J1"/>
    <mergeCell ref="L1:O1"/>
    <mergeCell ref="A196:A275"/>
    <mergeCell ref="B196:E196"/>
    <mergeCell ref="G196:J196"/>
    <mergeCell ref="L196:O196"/>
    <mergeCell ref="Q196:T196"/>
    <mergeCell ref="B256:AA256"/>
    <mergeCell ref="B257:C257"/>
    <mergeCell ref="V196:Y196"/>
    <mergeCell ref="AC196:AF196"/>
    <mergeCell ref="D243:E243"/>
    <mergeCell ref="F243:G243"/>
    <mergeCell ref="H243:I243"/>
    <mergeCell ref="J243:K243"/>
    <mergeCell ref="L243:M243"/>
    <mergeCell ref="N243:O243"/>
    <mergeCell ref="P243:Q243"/>
    <mergeCell ref="R243:S243"/>
    <mergeCell ref="T243:U243"/>
    <mergeCell ref="V243:W243"/>
    <mergeCell ref="X243:Y243"/>
    <mergeCell ref="Z243:AA243"/>
    <mergeCell ref="A295:A393"/>
    <mergeCell ref="B295:E295"/>
    <mergeCell ref="G295:J295"/>
    <mergeCell ref="L295:O295"/>
    <mergeCell ref="Q295:T295"/>
    <mergeCell ref="B355:AA355"/>
    <mergeCell ref="B356:C356"/>
    <mergeCell ref="V295:Y295"/>
    <mergeCell ref="AC295:AF295"/>
    <mergeCell ref="AH295:AK295"/>
    <mergeCell ref="D342:E342"/>
    <mergeCell ref="F342:G342"/>
    <mergeCell ref="H342:I342"/>
    <mergeCell ref="J342:K342"/>
    <mergeCell ref="L342:M342"/>
    <mergeCell ref="N342:O342"/>
    <mergeCell ref="P342:Q342"/>
    <mergeCell ref="R342:S342"/>
    <mergeCell ref="T342:U342"/>
    <mergeCell ref="V342:W342"/>
    <mergeCell ref="X342:Y342"/>
    <mergeCell ref="Z342:AA342"/>
    <mergeCell ref="A711:A818"/>
    <mergeCell ref="B711:E711"/>
    <mergeCell ref="G711:J711"/>
    <mergeCell ref="L711:O711"/>
    <mergeCell ref="Q711:T711"/>
    <mergeCell ref="AC711:AF711"/>
    <mergeCell ref="AH711:AK711"/>
    <mergeCell ref="D758:E758"/>
    <mergeCell ref="F758:G758"/>
    <mergeCell ref="H758:I758"/>
    <mergeCell ref="J758:K758"/>
    <mergeCell ref="L758:M758"/>
    <mergeCell ref="N758:O758"/>
    <mergeCell ref="P758:Q758"/>
    <mergeCell ref="R758:S758"/>
    <mergeCell ref="T758:U758"/>
    <mergeCell ref="V758:W758"/>
    <mergeCell ref="X758:Y758"/>
    <mergeCell ref="Z758:AA758"/>
    <mergeCell ref="B771:AA771"/>
    <mergeCell ref="B772:C772"/>
    <mergeCell ref="A819:A926"/>
    <mergeCell ref="B819:E819"/>
    <mergeCell ref="G819:J819"/>
    <mergeCell ref="L819:O819"/>
    <mergeCell ref="Q819:T819"/>
    <mergeCell ref="AC819:AF819"/>
    <mergeCell ref="AH819:AK819"/>
    <mergeCell ref="D866:E866"/>
    <mergeCell ref="F866:G866"/>
    <mergeCell ref="H866:I866"/>
    <mergeCell ref="J866:K866"/>
    <mergeCell ref="L866:M866"/>
    <mergeCell ref="N866:O866"/>
    <mergeCell ref="P866:Q866"/>
    <mergeCell ref="R866:S866"/>
    <mergeCell ref="T866:U866"/>
    <mergeCell ref="V866:W866"/>
    <mergeCell ref="X866:Y866"/>
    <mergeCell ref="Z866:AA866"/>
    <mergeCell ref="B879:AA879"/>
    <mergeCell ref="B880:C880"/>
  </mergeCells>
  <pageMargins left="0.7" right="0.7" top="0.75" bottom="0.75" header="0.3" footer="0.3"/>
  <pageSetup paperSize="9" orientation="portrait" horizontalDpi="4294967295" verticalDpi="4294967295" r:id="rId1"/>
  <headerFooter differentOddEven="1" differentFirst="1">
    <oddHeader>&amp;CKurum İçi | Internal / Genel Nitelikli Kişisel Veri içerir | Contains General Personel Information&amp;L </oddHeader>
    <oddFooter>&amp;L &amp;C&amp;"verdana,Regular"&amp;8Kurum İçi | Internal \  Kişisel Veri İçermez | Contains No Personal Data</oddFooter>
    <evenHeader>&amp;CKurum İçi | Internal / Genel Nitelikli Kişisel Veri içerir | Contains General Personel Information&amp;L </evenHeader>
    <evenFooter>&amp;L &amp;C&amp;"verdana,Regular"&amp;8Kurum İçi | Internal \  Kişisel Veri İçermez | Contains No Personal Data</evenFooter>
    <firstHeader>&amp;CKurum İçi | Internal / Genel Nitelikli Kişisel Veri içerir | Contains General Personel Information&amp;L </firstHeader>
    <firstFooter>&amp;CKurum İçi | Internal / Genel Nitelikli Kişisel Veri içerir | Contains General Personel Information&amp;L 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4"/>
  <dimension ref="A2:Z814"/>
  <sheetViews>
    <sheetView showGridLines="0" topLeftCell="A766" zoomScaleNormal="100" workbookViewId="0">
      <selection activeCell="L795" sqref="L795"/>
    </sheetView>
  </sheetViews>
  <sheetFormatPr defaultColWidth="8.88671875" defaultRowHeight="13.8" x14ac:dyDescent="0.3"/>
  <cols>
    <col min="1" max="1" width="3.33203125" style="54" customWidth="1"/>
    <col min="2" max="2" width="23.33203125" style="54" customWidth="1"/>
    <col min="3" max="3" width="32.33203125" style="54" bestFit="1" customWidth="1"/>
    <col min="4" max="4" width="21.44140625" style="54" bestFit="1" customWidth="1"/>
    <col min="5" max="5" width="7.6640625" style="60" bestFit="1" customWidth="1"/>
    <col min="6" max="6" width="6" style="60" bestFit="1" customWidth="1"/>
    <col min="7" max="7" width="7.44140625" style="60" customWidth="1"/>
    <col min="8" max="9" width="6.6640625" style="60" customWidth="1"/>
    <col min="10" max="10" width="6.5546875" style="60" customWidth="1"/>
    <col min="11" max="11" width="7.6640625" style="60" bestFit="1" customWidth="1"/>
    <col min="12" max="12" width="7.33203125" style="60" bestFit="1" customWidth="1"/>
    <col min="13" max="14" width="6" style="60" bestFit="1" customWidth="1"/>
    <col min="15" max="15" width="6.109375" style="60" bestFit="1" customWidth="1"/>
    <col min="16" max="16" width="7.33203125" style="60" customWidth="1"/>
    <col min="17" max="17" width="8.6640625" style="60" customWidth="1"/>
    <col min="18" max="19" width="8.88671875" style="54"/>
    <col min="20" max="20" width="19" style="54" customWidth="1"/>
    <col min="21" max="21" width="13.109375" style="54" customWidth="1"/>
    <col min="22" max="22" width="27.6640625" style="54" bestFit="1" customWidth="1"/>
    <col min="23" max="16384" width="8.88671875" style="54"/>
  </cols>
  <sheetData>
    <row r="2" spans="1:23" s="62" customFormat="1" x14ac:dyDescent="0.3">
      <c r="B2" s="63" t="s">
        <v>1</v>
      </c>
      <c r="C2" s="48" t="s">
        <v>2</v>
      </c>
      <c r="D2" s="48" t="s">
        <v>122</v>
      </c>
      <c r="E2" s="48" t="s">
        <v>107</v>
      </c>
      <c r="F2" s="48" t="s">
        <v>109</v>
      </c>
      <c r="G2" s="64" t="s">
        <v>110</v>
      </c>
      <c r="H2" s="64" t="s">
        <v>111</v>
      </c>
      <c r="I2" s="64" t="s">
        <v>112</v>
      </c>
      <c r="J2" s="64" t="s">
        <v>113</v>
      </c>
      <c r="K2" s="64" t="s">
        <v>114</v>
      </c>
      <c r="L2" s="64" t="s">
        <v>115</v>
      </c>
      <c r="M2" s="64" t="s">
        <v>116</v>
      </c>
      <c r="N2" s="64" t="s">
        <v>117</v>
      </c>
      <c r="O2" s="64" t="s">
        <v>118</v>
      </c>
      <c r="P2" s="64" t="s">
        <v>119</v>
      </c>
      <c r="Q2" s="64" t="s">
        <v>120</v>
      </c>
    </row>
    <row r="3" spans="1:23" x14ac:dyDescent="0.3">
      <c r="A3" s="538">
        <v>1</v>
      </c>
      <c r="B3" s="53" t="s">
        <v>5</v>
      </c>
      <c r="C3" s="49" t="s">
        <v>6</v>
      </c>
      <c r="D3" s="50" t="s">
        <v>7</v>
      </c>
      <c r="E3" s="52"/>
      <c r="F3" s="108"/>
      <c r="G3" s="108"/>
      <c r="H3" s="59"/>
      <c r="I3" s="59"/>
      <c r="J3" s="59"/>
      <c r="K3" s="59"/>
      <c r="L3" s="59"/>
      <c r="M3" s="59"/>
      <c r="N3" s="59"/>
      <c r="O3" s="59"/>
      <c r="P3" s="59"/>
      <c r="Q3" s="59">
        <f>SUM(Tablo2[[#This Row],[Ocak]:[Aralık]])</f>
        <v>0</v>
      </c>
    </row>
    <row r="4" spans="1:23" x14ac:dyDescent="0.3">
      <c r="A4" s="538"/>
      <c r="B4" s="53" t="s">
        <v>5</v>
      </c>
      <c r="C4" s="49" t="s">
        <v>6</v>
      </c>
      <c r="D4" s="50" t="s">
        <v>11</v>
      </c>
      <c r="E4" s="52"/>
      <c r="F4" s="108"/>
      <c r="G4" s="108"/>
      <c r="H4" s="59"/>
      <c r="I4" s="59"/>
      <c r="J4" s="59"/>
      <c r="K4" s="59"/>
      <c r="L4" s="59"/>
      <c r="M4" s="59"/>
      <c r="N4" s="59"/>
      <c r="O4" s="59"/>
      <c r="P4" s="59"/>
      <c r="Q4" s="59">
        <f>SUM(Tablo2[[#This Row],[Ocak]:[Aralık]])</f>
        <v>0</v>
      </c>
    </row>
    <row r="5" spans="1:23" x14ac:dyDescent="0.3">
      <c r="A5" s="538"/>
      <c r="B5" s="53" t="s">
        <v>5</v>
      </c>
      <c r="C5" s="49" t="s">
        <v>6</v>
      </c>
      <c r="D5" s="50" t="s">
        <v>15</v>
      </c>
      <c r="E5" s="52"/>
      <c r="F5" s="108"/>
      <c r="G5" s="108"/>
      <c r="H5" s="59"/>
      <c r="I5" s="59"/>
      <c r="J5" s="59"/>
      <c r="K5" s="59"/>
      <c r="L5" s="59"/>
      <c r="M5" s="59"/>
      <c r="N5" s="59"/>
      <c r="O5" s="59"/>
      <c r="P5" s="59"/>
      <c r="Q5" s="59">
        <f>SUM(Tablo2[[#This Row],[Ocak]:[Aralık]])</f>
        <v>0</v>
      </c>
    </row>
    <row r="6" spans="1:23" x14ac:dyDescent="0.3">
      <c r="A6" s="538"/>
      <c r="B6" s="53" t="s">
        <v>5</v>
      </c>
      <c r="C6" s="49" t="s">
        <v>6</v>
      </c>
      <c r="D6" s="51" t="s">
        <v>19</v>
      </c>
      <c r="E6" s="52"/>
      <c r="F6" s="108"/>
      <c r="G6" s="108"/>
      <c r="H6" s="59"/>
      <c r="I6" s="59"/>
      <c r="J6" s="59"/>
      <c r="K6" s="59"/>
      <c r="L6" s="59"/>
      <c r="M6" s="59"/>
      <c r="N6" s="59"/>
      <c r="O6" s="59"/>
      <c r="P6" s="59"/>
      <c r="Q6" s="59">
        <f>SUM(Tablo2[[#This Row],[Ocak]:[Aralık]])</f>
        <v>0</v>
      </c>
    </row>
    <row r="7" spans="1:23" x14ac:dyDescent="0.3">
      <c r="A7" s="538"/>
      <c r="B7" s="53" t="s">
        <v>5</v>
      </c>
      <c r="C7" s="49" t="s">
        <v>6</v>
      </c>
      <c r="D7" s="51" t="s">
        <v>22</v>
      </c>
      <c r="E7" s="52"/>
      <c r="F7" s="108"/>
      <c r="G7" s="108"/>
      <c r="H7" s="59"/>
      <c r="I7" s="59"/>
      <c r="J7" s="59"/>
      <c r="K7" s="59"/>
      <c r="L7" s="59"/>
      <c r="M7" s="59"/>
      <c r="N7" s="59"/>
      <c r="O7" s="59"/>
      <c r="P7" s="59"/>
      <c r="Q7" s="59">
        <f>SUM(Tablo2[[#This Row],[Ocak]:[Aralık]])</f>
        <v>0</v>
      </c>
    </row>
    <row r="8" spans="1:23" x14ac:dyDescent="0.3">
      <c r="A8" s="538"/>
      <c r="B8" s="53" t="s">
        <v>5</v>
      </c>
      <c r="C8" s="49" t="s">
        <v>6</v>
      </c>
      <c r="D8" s="51" t="s">
        <v>25</v>
      </c>
      <c r="E8" s="52"/>
      <c r="F8" s="108"/>
      <c r="G8" s="108"/>
      <c r="H8" s="59"/>
      <c r="I8" s="59"/>
      <c r="J8" s="59"/>
      <c r="K8" s="59"/>
      <c r="L8" s="59"/>
      <c r="M8" s="59"/>
      <c r="N8" s="59"/>
      <c r="O8" s="59"/>
      <c r="P8" s="59"/>
      <c r="Q8" s="59">
        <f>SUM(Tablo2[[#This Row],[Ocak]:[Aralık]])</f>
        <v>0</v>
      </c>
    </row>
    <row r="9" spans="1:23" x14ac:dyDescent="0.3">
      <c r="A9" s="538"/>
      <c r="B9" s="53" t="s">
        <v>5</v>
      </c>
      <c r="C9" s="49" t="s">
        <v>6</v>
      </c>
      <c r="D9" s="51" t="s">
        <v>28</v>
      </c>
      <c r="E9" s="52"/>
      <c r="F9" s="108"/>
      <c r="G9" s="108"/>
      <c r="H9" s="59"/>
      <c r="I9" s="59"/>
      <c r="J9" s="59"/>
      <c r="K9" s="59"/>
      <c r="L9" s="59"/>
      <c r="M9" s="59"/>
      <c r="N9" s="59"/>
      <c r="O9" s="59"/>
      <c r="P9" s="59"/>
      <c r="Q9" s="59">
        <f>SUM(Tablo2[[#This Row],[Ocak]:[Aralık]])</f>
        <v>0</v>
      </c>
    </row>
    <row r="10" spans="1:23" x14ac:dyDescent="0.3">
      <c r="A10" s="538"/>
      <c r="B10" s="53" t="s">
        <v>5</v>
      </c>
      <c r="C10" s="49" t="s">
        <v>6</v>
      </c>
      <c r="D10" s="51" t="s">
        <v>31</v>
      </c>
      <c r="E10" s="52"/>
      <c r="F10" s="108"/>
      <c r="G10" s="108"/>
      <c r="H10" s="59"/>
      <c r="I10" s="59"/>
      <c r="J10" s="59"/>
      <c r="K10" s="59"/>
      <c r="L10" s="59"/>
      <c r="M10" s="59"/>
      <c r="N10" s="59"/>
      <c r="O10" s="59"/>
      <c r="P10" s="59"/>
      <c r="Q10" s="59">
        <f>SUM(Tablo2[[#This Row],[Ocak]:[Aralık]])</f>
        <v>0</v>
      </c>
    </row>
    <row r="11" spans="1:23" x14ac:dyDescent="0.3">
      <c r="A11" s="538"/>
      <c r="B11" s="53" t="s">
        <v>5</v>
      </c>
      <c r="C11" s="49" t="s">
        <v>6</v>
      </c>
      <c r="D11" s="51" t="s">
        <v>34</v>
      </c>
      <c r="E11" s="52"/>
      <c r="F11" s="108"/>
      <c r="G11" s="108"/>
      <c r="H11" s="59"/>
      <c r="I11" s="59"/>
      <c r="J11" s="59"/>
      <c r="K11" s="59"/>
      <c r="L11" s="59"/>
      <c r="M11" s="59"/>
      <c r="N11" s="59"/>
      <c r="O11" s="59"/>
      <c r="P11" s="59"/>
      <c r="Q11" s="59">
        <f>SUM(Tablo2[[#This Row],[Ocak]:[Aralık]])</f>
        <v>0</v>
      </c>
    </row>
    <row r="12" spans="1:23" x14ac:dyDescent="0.3">
      <c r="A12" s="538"/>
      <c r="B12" s="53" t="s">
        <v>5</v>
      </c>
      <c r="C12" s="49" t="s">
        <v>6</v>
      </c>
      <c r="D12" s="51" t="s">
        <v>37</v>
      </c>
      <c r="E12" s="52"/>
      <c r="F12" s="108"/>
      <c r="G12" s="108"/>
      <c r="H12" s="59"/>
      <c r="I12" s="59"/>
      <c r="J12" s="59"/>
      <c r="K12" s="59"/>
      <c r="L12" s="59"/>
      <c r="M12" s="59"/>
      <c r="N12" s="59"/>
      <c r="O12" s="59"/>
      <c r="P12" s="59"/>
      <c r="Q12" s="59">
        <f>SUM(Tablo2[[#This Row],[Ocak]:[Aralık]])</f>
        <v>0</v>
      </c>
    </row>
    <row r="13" spans="1:23" x14ac:dyDescent="0.3">
      <c r="A13" s="538"/>
      <c r="B13" s="53" t="s">
        <v>5</v>
      </c>
      <c r="C13" s="49" t="s">
        <v>6</v>
      </c>
      <c r="D13" s="51" t="s">
        <v>39</v>
      </c>
      <c r="E13" s="52"/>
      <c r="F13" s="108"/>
      <c r="G13" s="108"/>
      <c r="H13" s="59">
        <v>20</v>
      </c>
      <c r="I13" s="59"/>
      <c r="J13" s="59"/>
      <c r="K13" s="59"/>
      <c r="L13" s="59"/>
      <c r="M13" s="59"/>
      <c r="N13" s="59"/>
      <c r="O13" s="59"/>
      <c r="P13" s="59"/>
      <c r="Q13" s="59">
        <f>SUM(Tablo2[[#This Row],[Ocak]:[Aralık]])</f>
        <v>20</v>
      </c>
    </row>
    <row r="14" spans="1:23" x14ac:dyDescent="0.3">
      <c r="A14" s="538"/>
      <c r="B14" s="53" t="s">
        <v>5</v>
      </c>
      <c r="C14" s="49" t="s">
        <v>6</v>
      </c>
      <c r="D14" s="51" t="s">
        <v>42</v>
      </c>
      <c r="E14" s="52"/>
      <c r="F14" s="108"/>
      <c r="G14" s="108"/>
      <c r="H14" s="59"/>
      <c r="I14" s="59"/>
      <c r="J14" s="59"/>
      <c r="K14" s="59"/>
      <c r="L14" s="59"/>
      <c r="M14" s="59"/>
      <c r="N14" s="59"/>
      <c r="O14" s="59"/>
      <c r="P14" s="59"/>
      <c r="Q14" s="59">
        <f>SUM(Tablo2[[#This Row],[Ocak]:[Aralık]])</f>
        <v>0</v>
      </c>
    </row>
    <row r="15" spans="1:23" x14ac:dyDescent="0.25">
      <c r="A15" s="538"/>
      <c r="B15" s="53" t="s">
        <v>5</v>
      </c>
      <c r="C15" s="49" t="s">
        <v>6</v>
      </c>
      <c r="D15" s="51" t="s">
        <v>45</v>
      </c>
      <c r="E15" s="52"/>
      <c r="F15" s="108"/>
      <c r="G15" s="108"/>
      <c r="H15" s="59"/>
      <c r="I15" s="59"/>
      <c r="J15" s="59"/>
      <c r="K15" s="59"/>
      <c r="L15" s="59"/>
      <c r="M15" s="59"/>
      <c r="N15" s="59"/>
      <c r="O15" s="59"/>
      <c r="P15" s="59"/>
      <c r="Q15" s="59">
        <f>SUM(Tablo2[[#This Row],[Ocak]:[Aralık]])</f>
        <v>0</v>
      </c>
      <c r="U15" s="474"/>
      <c r="V15" s="475"/>
      <c r="W15" s="464"/>
    </row>
    <row r="16" spans="1:23" x14ac:dyDescent="0.25">
      <c r="A16" s="538"/>
      <c r="B16" s="53" t="s">
        <v>5</v>
      </c>
      <c r="C16" s="49" t="s">
        <v>6</v>
      </c>
      <c r="D16" s="51" t="s">
        <v>48</v>
      </c>
      <c r="E16" s="52"/>
      <c r="F16" s="108"/>
      <c r="G16" s="108"/>
      <c r="H16" s="59"/>
      <c r="I16" s="59"/>
      <c r="J16" s="59"/>
      <c r="K16" s="59"/>
      <c r="L16" s="59"/>
      <c r="M16" s="59"/>
      <c r="N16" s="59"/>
      <c r="O16" s="59"/>
      <c r="P16" s="59"/>
      <c r="Q16" s="59">
        <f>SUM(Tablo2[[#This Row],[Ocak]:[Aralık]])</f>
        <v>0</v>
      </c>
      <c r="U16" s="474"/>
      <c r="V16" s="474"/>
      <c r="W16" s="477"/>
    </row>
    <row r="17" spans="1:23" x14ac:dyDescent="0.25">
      <c r="A17" s="538"/>
      <c r="B17" s="53" t="s">
        <v>5</v>
      </c>
      <c r="C17" s="49" t="s">
        <v>6</v>
      </c>
      <c r="D17" s="51" t="s">
        <v>50</v>
      </c>
      <c r="E17" s="52"/>
      <c r="F17" s="108"/>
      <c r="G17" s="108"/>
      <c r="H17" s="59"/>
      <c r="I17" s="59"/>
      <c r="J17" s="59"/>
      <c r="K17" s="59"/>
      <c r="L17" s="59">
        <v>25</v>
      </c>
      <c r="M17" s="59">
        <v>100</v>
      </c>
      <c r="N17" s="59"/>
      <c r="O17" s="59"/>
      <c r="P17" s="59"/>
      <c r="Q17" s="59">
        <f>SUM(Tablo2[[#This Row],[Ocak]:[Aralık]])</f>
        <v>125</v>
      </c>
      <c r="U17" s="474"/>
      <c r="V17" s="475"/>
      <c r="W17" s="464"/>
    </row>
    <row r="18" spans="1:23" x14ac:dyDescent="0.25">
      <c r="A18" s="538">
        <v>2</v>
      </c>
      <c r="B18" s="53" t="s">
        <v>5</v>
      </c>
      <c r="C18" s="51" t="s">
        <v>10</v>
      </c>
      <c r="D18" s="51" t="s">
        <v>7</v>
      </c>
      <c r="E18" s="52">
        <v>18000</v>
      </c>
      <c r="F18" s="108"/>
      <c r="G18" s="108"/>
      <c r="H18" s="59">
        <v>1500</v>
      </c>
      <c r="I18" s="59"/>
      <c r="J18" s="59"/>
      <c r="K18" s="59"/>
      <c r="L18" s="59"/>
      <c r="M18" s="59"/>
      <c r="N18" s="59"/>
      <c r="O18" s="59"/>
      <c r="P18" s="59"/>
      <c r="Q18" s="59">
        <f>SUM(Tablo2[[#This Row],[Ocak]:[Aralık]])</f>
        <v>19500</v>
      </c>
      <c r="U18" s="474"/>
      <c r="V18" s="475"/>
      <c r="W18" s="464"/>
    </row>
    <row r="19" spans="1:23" x14ac:dyDescent="0.25">
      <c r="A19" s="538"/>
      <c r="B19" s="53" t="s">
        <v>5</v>
      </c>
      <c r="C19" s="51" t="s">
        <v>10</v>
      </c>
      <c r="D19" s="51" t="s">
        <v>11</v>
      </c>
      <c r="E19" s="52">
        <v>6000</v>
      </c>
      <c r="F19" s="108"/>
      <c r="G19" s="108"/>
      <c r="H19" s="59">
        <v>90</v>
      </c>
      <c r="I19" s="59"/>
      <c r="J19" s="59"/>
      <c r="K19" s="59"/>
      <c r="L19" s="59"/>
      <c r="M19" s="59"/>
      <c r="N19" s="59"/>
      <c r="O19" s="59"/>
      <c r="P19" s="59"/>
      <c r="Q19" s="59">
        <f>SUM(Tablo2[[#This Row],[Ocak]:[Aralık]])</f>
        <v>6090</v>
      </c>
      <c r="U19" s="474"/>
      <c r="V19" s="475"/>
      <c r="W19" s="464"/>
    </row>
    <row r="20" spans="1:23" x14ac:dyDescent="0.25">
      <c r="A20" s="538"/>
      <c r="B20" s="53" t="s">
        <v>5</v>
      </c>
      <c r="C20" s="51" t="s">
        <v>10</v>
      </c>
      <c r="D20" s="50" t="s">
        <v>15</v>
      </c>
      <c r="E20" s="52">
        <v>9000</v>
      </c>
      <c r="F20" s="108"/>
      <c r="G20" s="108"/>
      <c r="H20" s="59">
        <v>70</v>
      </c>
      <c r="I20" s="59"/>
      <c r="J20" s="59"/>
      <c r="K20" s="59"/>
      <c r="L20" s="59">
        <v>80</v>
      </c>
      <c r="M20" s="59"/>
      <c r="N20" s="59"/>
      <c r="O20" s="59"/>
      <c r="P20" s="59"/>
      <c r="Q20" s="59">
        <f>SUM(Tablo2[[#This Row],[Ocak]:[Aralık]])</f>
        <v>9150</v>
      </c>
      <c r="U20" s="474"/>
      <c r="V20" s="475"/>
      <c r="W20" s="464"/>
    </row>
    <row r="21" spans="1:23" x14ac:dyDescent="0.25">
      <c r="A21" s="538"/>
      <c r="B21" s="53" t="s">
        <v>5</v>
      </c>
      <c r="C21" s="51" t="s">
        <v>10</v>
      </c>
      <c r="D21" s="50" t="s">
        <v>19</v>
      </c>
      <c r="E21" s="52"/>
      <c r="F21" s="108"/>
      <c r="G21" s="108"/>
      <c r="H21" s="59"/>
      <c r="I21" s="59"/>
      <c r="J21" s="59"/>
      <c r="K21" s="59"/>
      <c r="L21" s="59"/>
      <c r="M21" s="59"/>
      <c r="N21" s="59"/>
      <c r="O21" s="59"/>
      <c r="P21" s="59"/>
      <c r="Q21" s="59">
        <f>SUM(Tablo2[[#This Row],[Ocak]:[Aralık]])</f>
        <v>0</v>
      </c>
      <c r="U21" s="474"/>
      <c r="V21" s="475"/>
      <c r="W21" s="464"/>
    </row>
    <row r="22" spans="1:23" x14ac:dyDescent="0.25">
      <c r="A22" s="538"/>
      <c r="B22" s="53" t="s">
        <v>5</v>
      </c>
      <c r="C22" s="51" t="s">
        <v>10</v>
      </c>
      <c r="D22" s="50" t="s">
        <v>22</v>
      </c>
      <c r="E22" s="52"/>
      <c r="F22" s="108"/>
      <c r="G22" s="108"/>
      <c r="H22" s="59"/>
      <c r="I22" s="59"/>
      <c r="J22" s="59"/>
      <c r="K22" s="59"/>
      <c r="L22" s="59"/>
      <c r="M22" s="59"/>
      <c r="N22" s="59"/>
      <c r="O22" s="59"/>
      <c r="P22" s="59"/>
      <c r="Q22" s="59">
        <f>SUM(Tablo2[[#This Row],[Ocak]:[Aralık]])</f>
        <v>0</v>
      </c>
      <c r="U22" s="474"/>
      <c r="V22" s="475"/>
      <c r="W22" s="464"/>
    </row>
    <row r="23" spans="1:23" x14ac:dyDescent="0.25">
      <c r="A23" s="538"/>
      <c r="B23" s="53" t="s">
        <v>5</v>
      </c>
      <c r="C23" s="51" t="s">
        <v>10</v>
      </c>
      <c r="D23" s="51" t="s">
        <v>25</v>
      </c>
      <c r="E23" s="52"/>
      <c r="F23" s="108"/>
      <c r="G23" s="108"/>
      <c r="H23" s="59"/>
      <c r="I23" s="59"/>
      <c r="J23" s="59"/>
      <c r="K23" s="59"/>
      <c r="L23" s="59"/>
      <c r="M23" s="59"/>
      <c r="N23" s="59"/>
      <c r="O23" s="59"/>
      <c r="P23" s="59"/>
      <c r="Q23" s="59">
        <f>SUM(Tablo2[[#This Row],[Ocak]:[Aralık]])</f>
        <v>0</v>
      </c>
      <c r="U23" s="474"/>
      <c r="V23" s="475"/>
      <c r="W23" s="464"/>
    </row>
    <row r="24" spans="1:23" x14ac:dyDescent="0.25">
      <c r="A24" s="538"/>
      <c r="B24" s="53" t="s">
        <v>5</v>
      </c>
      <c r="C24" s="51" t="s">
        <v>10</v>
      </c>
      <c r="D24" s="51" t="s">
        <v>28</v>
      </c>
      <c r="E24" s="52"/>
      <c r="F24" s="108"/>
      <c r="G24" s="108"/>
      <c r="H24" s="59"/>
      <c r="I24" s="59"/>
      <c r="J24" s="59"/>
      <c r="K24" s="59"/>
      <c r="L24" s="59"/>
      <c r="M24" s="59"/>
      <c r="N24" s="59"/>
      <c r="O24" s="59"/>
      <c r="P24" s="59"/>
      <c r="Q24" s="59">
        <f>SUM(Tablo2[[#This Row],[Ocak]:[Aralık]])</f>
        <v>0</v>
      </c>
      <c r="U24" s="474"/>
      <c r="V24" s="474"/>
      <c r="W24" s="477"/>
    </row>
    <row r="25" spans="1:23" x14ac:dyDescent="0.25">
      <c r="A25" s="538"/>
      <c r="B25" s="53" t="s">
        <v>5</v>
      </c>
      <c r="C25" s="51" t="s">
        <v>10</v>
      </c>
      <c r="D25" s="51" t="s">
        <v>31</v>
      </c>
      <c r="E25" s="52"/>
      <c r="F25" s="108"/>
      <c r="G25" s="108"/>
      <c r="H25" s="59"/>
      <c r="I25" s="59"/>
      <c r="J25" s="59"/>
      <c r="K25" s="59"/>
      <c r="L25" s="59"/>
      <c r="M25" s="59"/>
      <c r="N25" s="59"/>
      <c r="O25" s="59"/>
      <c r="P25" s="59"/>
      <c r="Q25" s="59">
        <f>SUM(Tablo2[[#This Row],[Ocak]:[Aralık]])</f>
        <v>0</v>
      </c>
      <c r="U25" s="474"/>
      <c r="V25" s="475"/>
      <c r="W25" s="464"/>
    </row>
    <row r="26" spans="1:23" x14ac:dyDescent="0.25">
      <c r="A26" s="538"/>
      <c r="B26" s="53" t="s">
        <v>5</v>
      </c>
      <c r="C26" s="51" t="s">
        <v>10</v>
      </c>
      <c r="D26" s="51" t="s">
        <v>34</v>
      </c>
      <c r="E26" s="52"/>
      <c r="F26" s="108"/>
      <c r="G26" s="108"/>
      <c r="H26" s="59"/>
      <c r="I26" s="59"/>
      <c r="J26" s="59"/>
      <c r="K26" s="59"/>
      <c r="L26" s="59"/>
      <c r="M26" s="59"/>
      <c r="N26" s="59"/>
      <c r="O26" s="59"/>
      <c r="P26" s="59"/>
      <c r="Q26" s="59">
        <f>SUM(Tablo2[[#This Row],[Ocak]:[Aralık]])</f>
        <v>0</v>
      </c>
      <c r="U26" s="474"/>
      <c r="V26" s="475"/>
      <c r="W26" s="464"/>
    </row>
    <row r="27" spans="1:23" x14ac:dyDescent="0.25">
      <c r="A27" s="538"/>
      <c r="B27" s="53" t="s">
        <v>5</v>
      </c>
      <c r="C27" s="51" t="s">
        <v>10</v>
      </c>
      <c r="D27" s="51" t="s">
        <v>37</v>
      </c>
      <c r="E27" s="52"/>
      <c r="F27" s="108"/>
      <c r="G27" s="108"/>
      <c r="H27" s="59"/>
      <c r="I27" s="59"/>
      <c r="J27" s="59"/>
      <c r="K27" s="59"/>
      <c r="L27" s="59"/>
      <c r="M27" s="59"/>
      <c r="N27" s="59"/>
      <c r="O27" s="59"/>
      <c r="P27" s="59"/>
      <c r="Q27" s="59">
        <f>SUM(Tablo2[[#This Row],[Ocak]:[Aralık]])</f>
        <v>0</v>
      </c>
      <c r="U27" s="474"/>
      <c r="V27" s="475"/>
      <c r="W27" s="464"/>
    </row>
    <row r="28" spans="1:23" x14ac:dyDescent="0.25">
      <c r="A28" s="538"/>
      <c r="B28" s="53" t="s">
        <v>5</v>
      </c>
      <c r="C28" s="51" t="s">
        <v>10</v>
      </c>
      <c r="D28" s="51" t="s">
        <v>39</v>
      </c>
      <c r="E28" s="52"/>
      <c r="F28" s="108"/>
      <c r="G28" s="108"/>
      <c r="H28" s="59"/>
      <c r="I28" s="59"/>
      <c r="J28" s="59"/>
      <c r="K28" s="59"/>
      <c r="L28" s="59"/>
      <c r="M28" s="59"/>
      <c r="N28" s="59"/>
      <c r="O28" s="59"/>
      <c r="P28" s="59"/>
      <c r="Q28" s="59">
        <f>SUM(Tablo2[[#This Row],[Ocak]:[Aralık]])</f>
        <v>0</v>
      </c>
      <c r="U28" s="474"/>
      <c r="V28" s="475"/>
      <c r="W28" s="464"/>
    </row>
    <row r="29" spans="1:23" x14ac:dyDescent="0.25">
      <c r="A29" s="538"/>
      <c r="B29" s="53" t="s">
        <v>5</v>
      </c>
      <c r="C29" s="51" t="s">
        <v>10</v>
      </c>
      <c r="D29" s="51" t="s">
        <v>42</v>
      </c>
      <c r="E29" s="52"/>
      <c r="F29" s="108"/>
      <c r="G29" s="108"/>
      <c r="H29" s="59"/>
      <c r="I29" s="59"/>
      <c r="J29" s="59"/>
      <c r="K29" s="59"/>
      <c r="L29" s="59"/>
      <c r="M29" s="59"/>
      <c r="N29" s="59"/>
      <c r="O29" s="59"/>
      <c r="P29" s="59"/>
      <c r="Q29" s="59">
        <f>SUM(Tablo2[[#This Row],[Ocak]:[Aralık]])</f>
        <v>0</v>
      </c>
      <c r="U29" s="474"/>
      <c r="V29" s="475"/>
      <c r="W29" s="464"/>
    </row>
    <row r="30" spans="1:23" x14ac:dyDescent="0.25">
      <c r="A30" s="538"/>
      <c r="B30" s="53" t="s">
        <v>5</v>
      </c>
      <c r="C30" s="51" t="s">
        <v>10</v>
      </c>
      <c r="D30" s="51" t="s">
        <v>45</v>
      </c>
      <c r="E30" s="52"/>
      <c r="F30" s="108"/>
      <c r="G30" s="108"/>
      <c r="H30" s="59"/>
      <c r="I30" s="59"/>
      <c r="J30" s="59"/>
      <c r="K30" s="59"/>
      <c r="L30" s="59"/>
      <c r="M30" s="59"/>
      <c r="N30" s="59"/>
      <c r="O30" s="59"/>
      <c r="P30" s="59"/>
      <c r="Q30" s="59">
        <f>SUM(Tablo2[[#This Row],[Ocak]:[Aralık]])</f>
        <v>0</v>
      </c>
      <c r="U30" s="474"/>
      <c r="V30" s="475"/>
      <c r="W30" s="464"/>
    </row>
    <row r="31" spans="1:23" x14ac:dyDescent="0.25">
      <c r="A31" s="538"/>
      <c r="B31" s="53" t="s">
        <v>5</v>
      </c>
      <c r="C31" s="51" t="s">
        <v>10</v>
      </c>
      <c r="D31" s="51" t="s">
        <v>48</v>
      </c>
      <c r="E31" s="52"/>
      <c r="F31" s="108"/>
      <c r="G31" s="108"/>
      <c r="H31" s="59"/>
      <c r="I31" s="59"/>
      <c r="J31" s="59"/>
      <c r="K31" s="59"/>
      <c r="L31" s="59"/>
      <c r="M31" s="59"/>
      <c r="N31" s="59"/>
      <c r="O31" s="59"/>
      <c r="P31" s="59"/>
      <c r="Q31" s="59">
        <f>SUM(Tablo2[[#This Row],[Ocak]:[Aralık]])</f>
        <v>0</v>
      </c>
      <c r="U31" s="474"/>
      <c r="V31" s="475"/>
      <c r="W31" s="464"/>
    </row>
    <row r="32" spans="1:23" x14ac:dyDescent="0.25">
      <c r="A32" s="538"/>
      <c r="B32" s="53" t="s">
        <v>5</v>
      </c>
      <c r="C32" s="51" t="s">
        <v>10</v>
      </c>
      <c r="D32" s="51" t="s">
        <v>50</v>
      </c>
      <c r="E32" s="52"/>
      <c r="F32" s="108"/>
      <c r="G32" s="108"/>
      <c r="H32" s="59">
        <v>155</v>
      </c>
      <c r="I32" s="59"/>
      <c r="J32" s="59"/>
      <c r="K32" s="59"/>
      <c r="L32" s="59">
        <v>1316</v>
      </c>
      <c r="M32" s="59">
        <v>890</v>
      </c>
      <c r="N32" s="59"/>
      <c r="O32" s="59"/>
      <c r="P32" s="59"/>
      <c r="Q32" s="59">
        <f>SUM(Tablo2[[#This Row],[Ocak]:[Aralık]])</f>
        <v>2361</v>
      </c>
      <c r="U32" s="474"/>
      <c r="V32" s="475"/>
      <c r="W32" s="464"/>
    </row>
    <row r="33" spans="1:23" x14ac:dyDescent="0.25">
      <c r="A33" s="54">
        <v>5</v>
      </c>
      <c r="B33" s="53" t="s">
        <v>5</v>
      </c>
      <c r="C33" s="51" t="s">
        <v>14</v>
      </c>
      <c r="D33" s="51"/>
      <c r="E33" s="52">
        <v>9000</v>
      </c>
      <c r="F33" s="108"/>
      <c r="G33" s="108"/>
      <c r="H33" s="59">
        <v>395</v>
      </c>
      <c r="I33" s="59"/>
      <c r="J33" s="59">
        <v>150</v>
      </c>
      <c r="K33" s="59"/>
      <c r="L33" s="59">
        <v>80</v>
      </c>
      <c r="M33" s="59">
        <v>320</v>
      </c>
      <c r="N33" s="59"/>
      <c r="O33" s="59"/>
      <c r="P33" s="59"/>
      <c r="Q33" s="59">
        <f>SUM(Tablo2[[#This Row],[Ocak]:[Aralık]])</f>
        <v>9945</v>
      </c>
      <c r="U33" s="474"/>
      <c r="V33" s="475"/>
      <c r="W33" s="464"/>
    </row>
    <row r="34" spans="1:23" x14ac:dyDescent="0.25">
      <c r="A34" s="54">
        <v>6</v>
      </c>
      <c r="B34" s="53" t="s">
        <v>5</v>
      </c>
      <c r="C34" s="51" t="s">
        <v>18</v>
      </c>
      <c r="D34" s="51"/>
      <c r="E34" s="52"/>
      <c r="F34" s="108"/>
      <c r="G34" s="108"/>
      <c r="H34" s="59"/>
      <c r="I34" s="59"/>
      <c r="J34" s="59"/>
      <c r="K34" s="59"/>
      <c r="L34" s="59"/>
      <c r="M34" s="59">
        <v>35</v>
      </c>
      <c r="N34" s="59"/>
      <c r="O34" s="59"/>
      <c r="P34" s="59"/>
      <c r="Q34" s="59">
        <f>SUM(Tablo2[[#This Row],[Ocak]:[Aralık]])</f>
        <v>35</v>
      </c>
      <c r="U34" s="474"/>
      <c r="V34" s="475"/>
      <c r="W34" s="464"/>
    </row>
    <row r="35" spans="1:23" x14ac:dyDescent="0.25">
      <c r="A35" s="54">
        <v>7</v>
      </c>
      <c r="B35" s="53" t="s">
        <v>5</v>
      </c>
      <c r="C35" s="51" t="s">
        <v>21</v>
      </c>
      <c r="D35" s="51"/>
      <c r="E35" s="52"/>
      <c r="F35" s="108"/>
      <c r="G35" s="108"/>
      <c r="H35" s="59">
        <v>120</v>
      </c>
      <c r="I35" s="59"/>
      <c r="J35" s="59">
        <v>265</v>
      </c>
      <c r="K35" s="59">
        <v>40</v>
      </c>
      <c r="L35" s="59">
        <v>335</v>
      </c>
      <c r="M35" s="59">
        <v>185</v>
      </c>
      <c r="N35" s="59"/>
      <c r="O35" s="59"/>
      <c r="P35" s="59"/>
      <c r="Q35" s="59">
        <f>SUM(Tablo2[[#This Row],[Ocak]:[Aralık]])</f>
        <v>945</v>
      </c>
      <c r="U35" s="474"/>
      <c r="V35" s="474"/>
      <c r="W35" s="477"/>
    </row>
    <row r="36" spans="1:23" x14ac:dyDescent="0.25">
      <c r="A36" s="54">
        <v>8</v>
      </c>
      <c r="B36" s="53" t="s">
        <v>5</v>
      </c>
      <c r="C36" s="57" t="s">
        <v>24</v>
      </c>
      <c r="D36" s="57"/>
      <c r="E36" s="210"/>
      <c r="F36" s="108"/>
      <c r="G36" s="108"/>
      <c r="H36" s="59">
        <v>1007</v>
      </c>
      <c r="I36" s="59"/>
      <c r="J36" s="59">
        <v>2791</v>
      </c>
      <c r="K36" s="59">
        <v>330</v>
      </c>
      <c r="L36" s="59">
        <v>1725</v>
      </c>
      <c r="M36" s="59">
        <v>3560</v>
      </c>
      <c r="N36" s="59"/>
      <c r="O36" s="59"/>
      <c r="P36" s="59"/>
      <c r="Q36" s="59">
        <f>SUM(Tablo2[[#This Row],[Ocak]:[Aralık]])</f>
        <v>9413</v>
      </c>
      <c r="U36" s="474"/>
      <c r="V36" s="475"/>
      <c r="W36" s="464"/>
    </row>
    <row r="37" spans="1:23" x14ac:dyDescent="0.25">
      <c r="A37" s="54">
        <v>9</v>
      </c>
      <c r="B37" s="53" t="s">
        <v>5</v>
      </c>
      <c r="C37" s="57" t="s">
        <v>27</v>
      </c>
      <c r="D37" s="57"/>
      <c r="E37" s="210">
        <v>18000</v>
      </c>
      <c r="F37" s="108"/>
      <c r="G37" s="108"/>
      <c r="H37" s="59">
        <v>220</v>
      </c>
      <c r="I37" s="59"/>
      <c r="J37" s="59">
        <v>470</v>
      </c>
      <c r="K37" s="59">
        <v>100</v>
      </c>
      <c r="L37" s="59">
        <v>170</v>
      </c>
      <c r="M37" s="59">
        <v>210</v>
      </c>
      <c r="N37" s="59"/>
      <c r="O37" s="59"/>
      <c r="P37" s="59"/>
      <c r="Q37" s="59">
        <f>SUM(Tablo2[[#This Row],[Ocak]:[Aralık]])</f>
        <v>19170</v>
      </c>
      <c r="U37" s="474"/>
      <c r="V37" s="474"/>
      <c r="W37" s="477"/>
    </row>
    <row r="38" spans="1:23" x14ac:dyDescent="0.25">
      <c r="A38" s="54">
        <v>10</v>
      </c>
      <c r="B38" s="53" t="s">
        <v>5</v>
      </c>
      <c r="C38" s="57" t="s">
        <v>30</v>
      </c>
      <c r="D38" s="57"/>
      <c r="E38" s="210">
        <v>3000</v>
      </c>
      <c r="F38" s="108"/>
      <c r="G38" s="108"/>
      <c r="H38" s="59"/>
      <c r="I38" s="59"/>
      <c r="J38" s="59"/>
      <c r="K38" s="59"/>
      <c r="L38" s="59">
        <v>480</v>
      </c>
      <c r="M38" s="108"/>
      <c r="N38" s="59"/>
      <c r="O38" s="59"/>
      <c r="P38" s="59"/>
      <c r="Q38" s="59">
        <f>SUM(Tablo2[[#This Row],[Ocak]:[Aralık]])</f>
        <v>3480</v>
      </c>
      <c r="U38" s="474"/>
      <c r="V38" s="475"/>
      <c r="W38" s="464"/>
    </row>
    <row r="39" spans="1:23" x14ac:dyDescent="0.25">
      <c r="A39" s="54">
        <v>11</v>
      </c>
      <c r="B39" s="53" t="s">
        <v>5</v>
      </c>
      <c r="C39" s="57" t="s">
        <v>33</v>
      </c>
      <c r="D39" s="57"/>
      <c r="E39" s="210"/>
      <c r="F39" s="108"/>
      <c r="G39" s="108"/>
      <c r="H39" s="59"/>
      <c r="I39" s="59"/>
      <c r="J39" s="59">
        <v>60</v>
      </c>
      <c r="K39" s="59"/>
      <c r="L39" s="59"/>
      <c r="M39" s="108"/>
      <c r="N39" s="59"/>
      <c r="O39" s="59"/>
      <c r="P39" s="59"/>
      <c r="Q39" s="59">
        <f>SUM(Tablo2[[#This Row],[Ocak]:[Aralık]])</f>
        <v>60</v>
      </c>
      <c r="U39" s="474"/>
      <c r="V39" s="475"/>
      <c r="W39" s="464"/>
    </row>
    <row r="40" spans="1:23" x14ac:dyDescent="0.25">
      <c r="A40" s="54">
        <v>12</v>
      </c>
      <c r="B40" s="53" t="s">
        <v>5</v>
      </c>
      <c r="C40" s="57" t="s">
        <v>36</v>
      </c>
      <c r="D40" s="57"/>
      <c r="E40" s="210"/>
      <c r="F40" s="108"/>
      <c r="G40" s="108"/>
      <c r="H40" s="59"/>
      <c r="I40" s="59"/>
      <c r="J40" s="59"/>
      <c r="K40" s="59"/>
      <c r="L40" s="59"/>
      <c r="M40" s="108"/>
      <c r="N40" s="59"/>
      <c r="O40" s="59"/>
      <c r="P40" s="59"/>
      <c r="Q40" s="59">
        <f>SUM(Tablo2[[#This Row],[Ocak]:[Aralık]])</f>
        <v>0</v>
      </c>
      <c r="U40" s="474"/>
      <c r="V40" s="475"/>
      <c r="W40" s="464"/>
    </row>
    <row r="41" spans="1:23" x14ac:dyDescent="0.25">
      <c r="A41" s="54">
        <v>13</v>
      </c>
      <c r="B41" s="53" t="s">
        <v>5</v>
      </c>
      <c r="C41" s="57" t="s">
        <v>38</v>
      </c>
      <c r="D41" s="57"/>
      <c r="E41" s="210"/>
      <c r="F41" s="108"/>
      <c r="G41" s="108"/>
      <c r="H41" s="59"/>
      <c r="I41" s="59"/>
      <c r="J41" s="59"/>
      <c r="K41" s="59"/>
      <c r="L41" s="59"/>
      <c r="M41" s="108"/>
      <c r="N41" s="59"/>
      <c r="O41" s="59"/>
      <c r="P41" s="59"/>
      <c r="Q41" s="59">
        <f>SUM(Tablo2[[#This Row],[Ocak]:[Aralık]])</f>
        <v>0</v>
      </c>
      <c r="U41" s="474"/>
      <c r="V41" s="474"/>
      <c r="W41" s="477"/>
    </row>
    <row r="42" spans="1:23" x14ac:dyDescent="0.25">
      <c r="A42" s="54">
        <v>14</v>
      </c>
      <c r="B42" s="53" t="s">
        <v>5</v>
      </c>
      <c r="C42" s="57" t="s">
        <v>41</v>
      </c>
      <c r="D42" s="57"/>
      <c r="E42" s="210"/>
      <c r="F42" s="108"/>
      <c r="G42" s="108"/>
      <c r="H42" s="59"/>
      <c r="I42" s="59"/>
      <c r="J42" s="59"/>
      <c r="K42" s="59"/>
      <c r="L42" s="59">
        <v>120</v>
      </c>
      <c r="M42" s="108"/>
      <c r="N42" s="59"/>
      <c r="O42" s="59"/>
      <c r="P42" s="59"/>
      <c r="Q42" s="59">
        <f>SUM(Tablo2[[#This Row],[Ocak]:[Aralık]])</f>
        <v>120</v>
      </c>
      <c r="U42" s="474"/>
      <c r="V42" s="475"/>
      <c r="W42" s="464"/>
    </row>
    <row r="43" spans="1:23" x14ac:dyDescent="0.25">
      <c r="A43" s="54">
        <v>15</v>
      </c>
      <c r="B43" s="53" t="s">
        <v>5</v>
      </c>
      <c r="C43" s="57" t="s">
        <v>44</v>
      </c>
      <c r="D43" s="57"/>
      <c r="E43" s="210">
        <v>6000</v>
      </c>
      <c r="F43" s="108"/>
      <c r="G43" s="108"/>
      <c r="H43" s="59"/>
      <c r="I43" s="59"/>
      <c r="J43" s="59">
        <v>30</v>
      </c>
      <c r="K43" s="59">
        <v>50</v>
      </c>
      <c r="L43" s="59"/>
      <c r="M43" s="108">
        <v>130</v>
      </c>
      <c r="N43" s="59"/>
      <c r="O43" s="59"/>
      <c r="P43" s="59"/>
      <c r="Q43" s="59">
        <f>SUM(Tablo2[[#This Row],[Ocak]:[Aralık]])</f>
        <v>6210</v>
      </c>
      <c r="U43" s="474"/>
      <c r="V43" s="474"/>
      <c r="W43" s="477"/>
    </row>
    <row r="44" spans="1:23" x14ac:dyDescent="0.25">
      <c r="A44" s="54">
        <v>16</v>
      </c>
      <c r="B44" s="53" t="s">
        <v>5</v>
      </c>
      <c r="C44" s="57" t="s">
        <v>47</v>
      </c>
      <c r="D44" s="57"/>
      <c r="E44" s="210">
        <v>1800</v>
      </c>
      <c r="F44" s="108"/>
      <c r="G44" s="108"/>
      <c r="H44" s="59">
        <v>620</v>
      </c>
      <c r="I44" s="59"/>
      <c r="J44" s="59">
        <v>1475</v>
      </c>
      <c r="K44" s="59">
        <v>125</v>
      </c>
      <c r="L44" s="59">
        <v>865</v>
      </c>
      <c r="M44" s="59">
        <v>1175</v>
      </c>
      <c r="N44" s="59"/>
      <c r="O44" s="59"/>
      <c r="P44" s="59"/>
      <c r="Q44" s="59">
        <f>SUM(Tablo2[[#This Row],[Ocak]:[Aralık]])</f>
        <v>6060</v>
      </c>
      <c r="U44" s="474"/>
      <c r="V44" s="475"/>
      <c r="W44" s="464"/>
    </row>
    <row r="45" spans="1:23" x14ac:dyDescent="0.25">
      <c r="A45" s="54">
        <v>17</v>
      </c>
      <c r="B45" s="53" t="s">
        <v>5</v>
      </c>
      <c r="C45" s="57" t="s">
        <v>49</v>
      </c>
      <c r="D45" s="57"/>
      <c r="E45" s="210">
        <v>1200</v>
      </c>
      <c r="F45" s="108"/>
      <c r="G45" s="108"/>
      <c r="H45" s="59">
        <v>110</v>
      </c>
      <c r="I45" s="59"/>
      <c r="J45" s="59">
        <v>305</v>
      </c>
      <c r="K45" s="59"/>
      <c r="L45" s="59">
        <v>365</v>
      </c>
      <c r="M45" s="59">
        <v>320</v>
      </c>
      <c r="N45" s="59"/>
      <c r="O45" s="59"/>
      <c r="P45" s="59"/>
      <c r="Q45" s="59">
        <f>SUM(Tablo2[[#This Row],[Ocak]:[Aralık]])</f>
        <v>2300</v>
      </c>
      <c r="U45" s="474"/>
      <c r="V45" s="474"/>
      <c r="W45" s="477"/>
    </row>
    <row r="46" spans="1:23" x14ac:dyDescent="0.25">
      <c r="A46" s="54">
        <v>18</v>
      </c>
      <c r="B46" s="53" t="s">
        <v>5</v>
      </c>
      <c r="C46" s="57" t="s">
        <v>51</v>
      </c>
      <c r="D46" s="57"/>
      <c r="E46" s="210"/>
      <c r="F46" s="108"/>
      <c r="G46" s="108"/>
      <c r="H46" s="59"/>
      <c r="I46" s="59"/>
      <c r="J46" s="59"/>
      <c r="K46" s="59"/>
      <c r="L46" s="59"/>
      <c r="M46" s="59"/>
      <c r="N46" s="59"/>
      <c r="O46" s="59"/>
      <c r="P46" s="59"/>
      <c r="Q46" s="59">
        <f>SUM(Tablo2[[#This Row],[Ocak]:[Aralık]])</f>
        <v>0</v>
      </c>
      <c r="U46" s="474"/>
      <c r="V46" s="475"/>
      <c r="W46" s="464"/>
    </row>
    <row r="47" spans="1:23" x14ac:dyDescent="0.25">
      <c r="A47" s="54">
        <v>19</v>
      </c>
      <c r="B47" s="53" t="s">
        <v>5</v>
      </c>
      <c r="C47" s="57" t="s">
        <v>52</v>
      </c>
      <c r="D47" s="57"/>
      <c r="E47" s="210"/>
      <c r="F47" s="108"/>
      <c r="G47" s="108"/>
      <c r="H47" s="59"/>
      <c r="I47" s="59"/>
      <c r="J47" s="59"/>
      <c r="K47" s="59"/>
      <c r="L47" s="59"/>
      <c r="M47" s="59">
        <v>60</v>
      </c>
      <c r="N47" s="59"/>
      <c r="O47" s="59"/>
      <c r="P47" s="59"/>
      <c r="Q47" s="59">
        <f>SUM(Tablo2[[#This Row],[Ocak]:[Aralık]])</f>
        <v>60</v>
      </c>
      <c r="U47" s="474"/>
      <c r="V47" s="475"/>
      <c r="W47" s="464"/>
    </row>
    <row r="48" spans="1:23" x14ac:dyDescent="0.25">
      <c r="A48" s="54">
        <v>20</v>
      </c>
      <c r="B48" s="53" t="s">
        <v>5</v>
      </c>
      <c r="C48" s="57" t="s">
        <v>53</v>
      </c>
      <c r="D48" s="57"/>
      <c r="E48" s="210">
        <v>4800</v>
      </c>
      <c r="F48" s="108"/>
      <c r="G48" s="108"/>
      <c r="H48" s="59">
        <v>30</v>
      </c>
      <c r="I48" s="59"/>
      <c r="J48" s="59">
        <v>30</v>
      </c>
      <c r="K48" s="59"/>
      <c r="L48" s="59"/>
      <c r="M48" s="59">
        <v>390</v>
      </c>
      <c r="N48" s="59"/>
      <c r="O48" s="59"/>
      <c r="P48" s="59"/>
      <c r="Q48" s="59">
        <f>SUM(Tablo2[[#This Row],[Ocak]:[Aralık]])</f>
        <v>5250</v>
      </c>
      <c r="U48" s="474"/>
      <c r="V48" s="475"/>
      <c r="W48" s="464"/>
    </row>
    <row r="49" spans="1:23" x14ac:dyDescent="0.25">
      <c r="A49" s="54">
        <v>21</v>
      </c>
      <c r="B49" s="53" t="s">
        <v>5</v>
      </c>
      <c r="C49" s="57" t="s">
        <v>54</v>
      </c>
      <c r="D49" s="57"/>
      <c r="E49" s="210"/>
      <c r="F49" s="108"/>
      <c r="G49" s="108"/>
      <c r="H49" s="59">
        <v>300</v>
      </c>
      <c r="I49" s="59"/>
      <c r="J49" s="59">
        <v>355</v>
      </c>
      <c r="K49" s="59">
        <v>110</v>
      </c>
      <c r="L49" s="59"/>
      <c r="M49" s="59">
        <v>595</v>
      </c>
      <c r="N49" s="59"/>
      <c r="O49" s="59"/>
      <c r="P49" s="59"/>
      <c r="Q49" s="59">
        <f>SUM(Tablo2[[#This Row],[Ocak]:[Aralık]])</f>
        <v>1360</v>
      </c>
      <c r="U49" s="474"/>
      <c r="V49" s="475"/>
      <c r="W49" s="464"/>
    </row>
    <row r="50" spans="1:23" x14ac:dyDescent="0.25">
      <c r="A50" s="54">
        <v>22</v>
      </c>
      <c r="B50" s="53" t="s">
        <v>5</v>
      </c>
      <c r="C50" s="57" t="s">
        <v>55</v>
      </c>
      <c r="D50" s="57"/>
      <c r="E50" s="210"/>
      <c r="F50" s="108"/>
      <c r="G50" s="108"/>
      <c r="H50" s="59"/>
      <c r="I50" s="59"/>
      <c r="J50" s="59"/>
      <c r="K50" s="59"/>
      <c r="L50" s="59"/>
      <c r="M50" s="59">
        <v>60</v>
      </c>
      <c r="N50" s="59"/>
      <c r="O50" s="59"/>
      <c r="P50" s="59"/>
      <c r="Q50" s="59">
        <f>SUM(Tablo2[[#This Row],[Ocak]:[Aralık]])</f>
        <v>60</v>
      </c>
      <c r="U50" s="474"/>
      <c r="V50" s="475"/>
      <c r="W50" s="464"/>
    </row>
    <row r="51" spans="1:23" x14ac:dyDescent="0.25">
      <c r="A51" s="54">
        <v>23</v>
      </c>
      <c r="B51" s="53" t="s">
        <v>5</v>
      </c>
      <c r="C51" s="57" t="s">
        <v>56</v>
      </c>
      <c r="D51" s="57"/>
      <c r="E51" s="210"/>
      <c r="F51" s="108"/>
      <c r="G51" s="108"/>
      <c r="H51" s="59"/>
      <c r="I51" s="59"/>
      <c r="J51" s="59"/>
      <c r="K51" s="59">
        <v>200</v>
      </c>
      <c r="L51" s="59"/>
      <c r="M51" s="59"/>
      <c r="N51" s="59"/>
      <c r="O51" s="59"/>
      <c r="P51" s="59"/>
      <c r="Q51" s="59">
        <f>SUM(Tablo2[[#This Row],[Ocak]:[Aralık]])</f>
        <v>200</v>
      </c>
      <c r="U51" s="474"/>
      <c r="V51" s="475"/>
      <c r="W51" s="464"/>
    </row>
    <row r="52" spans="1:23" x14ac:dyDescent="0.25">
      <c r="A52" s="54">
        <v>24</v>
      </c>
      <c r="B52" s="53" t="s">
        <v>5</v>
      </c>
      <c r="C52" s="57" t="s">
        <v>57</v>
      </c>
      <c r="D52" s="57"/>
      <c r="E52" s="210">
        <v>600</v>
      </c>
      <c r="F52" s="108"/>
      <c r="G52" s="108"/>
      <c r="H52" s="59"/>
      <c r="I52" s="59"/>
      <c r="J52" s="59">
        <v>30</v>
      </c>
      <c r="K52" s="59">
        <v>30</v>
      </c>
      <c r="L52" s="59">
        <v>210</v>
      </c>
      <c r="M52" s="59"/>
      <c r="N52" s="59"/>
      <c r="O52" s="59"/>
      <c r="P52" s="59"/>
      <c r="Q52" s="59">
        <f>SUM(Tablo2[[#This Row],[Ocak]:[Aralık]])</f>
        <v>870</v>
      </c>
      <c r="U52" s="474"/>
      <c r="V52" s="475"/>
      <c r="W52" s="464"/>
    </row>
    <row r="53" spans="1:23" x14ac:dyDescent="0.25">
      <c r="A53" s="538">
        <v>1</v>
      </c>
      <c r="B53" s="53" t="s">
        <v>46</v>
      </c>
      <c r="C53" s="57" t="s">
        <v>6</v>
      </c>
      <c r="D53" s="57" t="s">
        <v>7</v>
      </c>
      <c r="E53" s="210">
        <v>160</v>
      </c>
      <c r="F53" s="108">
        <v>130</v>
      </c>
      <c r="G53" s="108">
        <v>160</v>
      </c>
      <c r="H53" s="59"/>
      <c r="I53" s="59"/>
      <c r="J53" s="59"/>
      <c r="K53" s="59"/>
      <c r="L53" s="59"/>
      <c r="M53" s="59"/>
      <c r="N53" s="59"/>
      <c r="O53" s="59"/>
      <c r="P53" s="59"/>
      <c r="Q53" s="59">
        <f>SUM(Tablo2[[#This Row],[Ocak]:[Aralık]])</f>
        <v>450</v>
      </c>
      <c r="U53" s="474"/>
      <c r="V53" s="474"/>
      <c r="W53" s="477"/>
    </row>
    <row r="54" spans="1:23" x14ac:dyDescent="0.25">
      <c r="A54" s="538"/>
      <c r="B54" s="53" t="s">
        <v>46</v>
      </c>
      <c r="C54" s="57" t="s">
        <v>6</v>
      </c>
      <c r="D54" s="57" t="s">
        <v>11</v>
      </c>
      <c r="E54" s="210"/>
      <c r="F54" s="108">
        <v>40</v>
      </c>
      <c r="G54" s="108"/>
      <c r="H54" s="59"/>
      <c r="I54" s="59"/>
      <c r="J54" s="59"/>
      <c r="K54" s="59"/>
      <c r="L54" s="59">
        <v>440</v>
      </c>
      <c r="M54" s="59"/>
      <c r="N54" s="59"/>
      <c r="O54" s="59"/>
      <c r="P54" s="59"/>
      <c r="Q54" s="59">
        <f>SUM(Tablo2[[#This Row],[Ocak]:[Aralık]])</f>
        <v>480</v>
      </c>
      <c r="U54" s="474"/>
      <c r="V54" s="475"/>
      <c r="W54" s="464"/>
    </row>
    <row r="55" spans="1:23" x14ac:dyDescent="0.25">
      <c r="A55" s="538"/>
      <c r="B55" s="53" t="s">
        <v>46</v>
      </c>
      <c r="C55" s="57" t="s">
        <v>6</v>
      </c>
      <c r="D55" s="57" t="s">
        <v>15</v>
      </c>
      <c r="E55" s="210"/>
      <c r="F55" s="108"/>
      <c r="G55" s="108">
        <v>715</v>
      </c>
      <c r="H55" s="59"/>
      <c r="I55" s="59"/>
      <c r="J55" s="59"/>
      <c r="K55" s="59"/>
      <c r="L55" s="59"/>
      <c r="M55" s="59"/>
      <c r="N55" s="59"/>
      <c r="O55" s="59"/>
      <c r="P55" s="59"/>
      <c r="Q55" s="59">
        <f>SUM(Tablo2[[#This Row],[Ocak]:[Aralık]])</f>
        <v>715</v>
      </c>
      <c r="U55" s="474"/>
      <c r="V55" s="475"/>
      <c r="W55" s="464"/>
    </row>
    <row r="56" spans="1:23" x14ac:dyDescent="0.25">
      <c r="A56" s="538"/>
      <c r="B56" s="53" t="s">
        <v>46</v>
      </c>
      <c r="C56" s="57" t="s">
        <v>6</v>
      </c>
      <c r="D56" s="57" t="s">
        <v>19</v>
      </c>
      <c r="E56" s="210"/>
      <c r="F56" s="108"/>
      <c r="G56" s="108"/>
      <c r="H56" s="59"/>
      <c r="I56" s="59"/>
      <c r="J56" s="59"/>
      <c r="K56" s="59"/>
      <c r="L56" s="59"/>
      <c r="M56" s="59"/>
      <c r="N56" s="59"/>
      <c r="O56" s="59"/>
      <c r="P56" s="59"/>
      <c r="Q56" s="59">
        <f>SUM(Tablo2[[#This Row],[Ocak]:[Aralık]])</f>
        <v>0</v>
      </c>
      <c r="U56" s="474"/>
      <c r="V56" s="475"/>
      <c r="W56" s="464"/>
    </row>
    <row r="57" spans="1:23" x14ac:dyDescent="0.25">
      <c r="A57" s="538"/>
      <c r="B57" s="53" t="s">
        <v>46</v>
      </c>
      <c r="C57" s="57" t="s">
        <v>6</v>
      </c>
      <c r="D57" s="57" t="s">
        <v>22</v>
      </c>
      <c r="E57" s="210"/>
      <c r="F57" s="108"/>
      <c r="G57" s="108"/>
      <c r="H57" s="59"/>
      <c r="I57" s="59"/>
      <c r="J57" s="59"/>
      <c r="K57" s="59"/>
      <c r="L57" s="59"/>
      <c r="M57" s="59"/>
      <c r="N57" s="59"/>
      <c r="O57" s="59"/>
      <c r="P57" s="59"/>
      <c r="Q57" s="59">
        <f>SUM(Tablo2[[#This Row],[Ocak]:[Aralık]])</f>
        <v>0</v>
      </c>
      <c r="U57" s="474"/>
      <c r="V57" s="475"/>
      <c r="W57" s="464"/>
    </row>
    <row r="58" spans="1:23" x14ac:dyDescent="0.25">
      <c r="A58" s="538"/>
      <c r="B58" s="53" t="s">
        <v>46</v>
      </c>
      <c r="C58" s="57" t="s">
        <v>6</v>
      </c>
      <c r="D58" s="57" t="s">
        <v>25</v>
      </c>
      <c r="E58" s="210"/>
      <c r="F58" s="108"/>
      <c r="G58" s="108"/>
      <c r="H58" s="59"/>
      <c r="I58" s="59"/>
      <c r="J58" s="59"/>
      <c r="K58" s="59"/>
      <c r="L58" s="59"/>
      <c r="M58" s="59"/>
      <c r="N58" s="59"/>
      <c r="O58" s="59"/>
      <c r="P58" s="59"/>
      <c r="Q58" s="59">
        <f>SUM(Tablo2[[#This Row],[Ocak]:[Aralık]])</f>
        <v>0</v>
      </c>
      <c r="U58" s="474"/>
      <c r="V58" s="474"/>
      <c r="W58" s="477"/>
    </row>
    <row r="59" spans="1:23" x14ac:dyDescent="0.25">
      <c r="A59" s="538"/>
      <c r="B59" s="53" t="s">
        <v>46</v>
      </c>
      <c r="C59" s="57" t="s">
        <v>6</v>
      </c>
      <c r="D59" s="57" t="s">
        <v>28</v>
      </c>
      <c r="E59" s="210"/>
      <c r="F59" s="108"/>
      <c r="G59" s="108"/>
      <c r="H59" s="59"/>
      <c r="I59" s="59"/>
      <c r="J59" s="59"/>
      <c r="K59" s="59"/>
      <c r="L59" s="59"/>
      <c r="M59" s="59"/>
      <c r="N59" s="59"/>
      <c r="O59" s="59"/>
      <c r="P59" s="59"/>
      <c r="Q59" s="59">
        <f>SUM(Tablo2[[#This Row],[Ocak]:[Aralık]])</f>
        <v>0</v>
      </c>
      <c r="U59" s="474"/>
      <c r="V59" s="475"/>
      <c r="W59" s="464"/>
    </row>
    <row r="60" spans="1:23" x14ac:dyDescent="0.25">
      <c r="A60" s="538"/>
      <c r="B60" s="53" t="s">
        <v>46</v>
      </c>
      <c r="C60" s="57" t="s">
        <v>6</v>
      </c>
      <c r="D60" s="57" t="s">
        <v>31</v>
      </c>
      <c r="E60" s="210"/>
      <c r="F60" s="108"/>
      <c r="G60" s="108"/>
      <c r="H60" s="59"/>
      <c r="I60" s="59"/>
      <c r="J60" s="59"/>
      <c r="K60" s="59"/>
      <c r="L60" s="59"/>
      <c r="M60" s="59"/>
      <c r="N60" s="59"/>
      <c r="O60" s="59"/>
      <c r="P60" s="59"/>
      <c r="Q60" s="59">
        <f>SUM(Tablo2[[#This Row],[Ocak]:[Aralık]])</f>
        <v>0</v>
      </c>
      <c r="U60" s="474"/>
      <c r="V60" s="474"/>
      <c r="W60" s="477"/>
    </row>
    <row r="61" spans="1:23" x14ac:dyDescent="0.25">
      <c r="A61" s="538"/>
      <c r="B61" s="53" t="s">
        <v>46</v>
      </c>
      <c r="C61" s="57" t="s">
        <v>6</v>
      </c>
      <c r="D61" s="57" t="s">
        <v>34</v>
      </c>
      <c r="E61" s="210"/>
      <c r="F61" s="108"/>
      <c r="G61" s="108"/>
      <c r="H61" s="59"/>
      <c r="I61" s="59"/>
      <c r="J61" s="59"/>
      <c r="K61" s="59"/>
      <c r="L61" s="59"/>
      <c r="M61" s="59"/>
      <c r="N61" s="59"/>
      <c r="O61" s="59"/>
      <c r="P61" s="59"/>
      <c r="Q61" s="59">
        <f>SUM(Tablo2[[#This Row],[Ocak]:[Aralık]])</f>
        <v>0</v>
      </c>
      <c r="U61" s="474"/>
      <c r="V61" s="475"/>
      <c r="W61" s="464"/>
    </row>
    <row r="62" spans="1:23" x14ac:dyDescent="0.25">
      <c r="A62" s="538"/>
      <c r="B62" s="53" t="s">
        <v>46</v>
      </c>
      <c r="C62" s="57" t="s">
        <v>6</v>
      </c>
      <c r="D62" s="57" t="s">
        <v>37</v>
      </c>
      <c r="E62" s="210"/>
      <c r="F62" s="108"/>
      <c r="G62" s="108"/>
      <c r="H62" s="59"/>
      <c r="I62" s="59"/>
      <c r="J62" s="59"/>
      <c r="K62" s="59">
        <v>460</v>
      </c>
      <c r="L62" s="59"/>
      <c r="M62" s="59"/>
      <c r="N62" s="59"/>
      <c r="O62" s="59"/>
      <c r="P62" s="59"/>
      <c r="Q62" s="59">
        <f>SUM(Tablo2[[#This Row],[Ocak]:[Aralık]])</f>
        <v>460</v>
      </c>
      <c r="U62" s="474"/>
      <c r="V62" s="475"/>
      <c r="W62" s="464"/>
    </row>
    <row r="63" spans="1:23" x14ac:dyDescent="0.25">
      <c r="A63" s="538"/>
      <c r="B63" s="53" t="s">
        <v>46</v>
      </c>
      <c r="C63" s="57" t="s">
        <v>6</v>
      </c>
      <c r="D63" s="57" t="s">
        <v>39</v>
      </c>
      <c r="E63" s="210"/>
      <c r="F63" s="108"/>
      <c r="G63" s="108"/>
      <c r="H63" s="59"/>
      <c r="I63" s="59"/>
      <c r="J63" s="59"/>
      <c r="K63" s="59"/>
      <c r="L63" s="59"/>
      <c r="M63" s="59"/>
      <c r="N63" s="59"/>
      <c r="O63" s="59"/>
      <c r="P63" s="59"/>
      <c r="Q63" s="59">
        <f>SUM(Tablo2[[#This Row],[Ocak]:[Aralık]])</f>
        <v>0</v>
      </c>
      <c r="U63" s="474"/>
      <c r="V63" s="474"/>
      <c r="W63" s="477"/>
    </row>
    <row r="64" spans="1:23" x14ac:dyDescent="0.25">
      <c r="A64" s="538"/>
      <c r="B64" s="53" t="s">
        <v>46</v>
      </c>
      <c r="C64" s="57" t="s">
        <v>6</v>
      </c>
      <c r="D64" s="57" t="s">
        <v>42</v>
      </c>
      <c r="E64" s="210"/>
      <c r="F64" s="108"/>
      <c r="G64" s="108"/>
      <c r="H64" s="59"/>
      <c r="I64" s="59"/>
      <c r="J64" s="59"/>
      <c r="K64" s="59"/>
      <c r="L64" s="59"/>
      <c r="M64" s="59"/>
      <c r="N64" s="59"/>
      <c r="O64" s="59"/>
      <c r="P64" s="59"/>
      <c r="Q64" s="59">
        <f>SUM(Tablo2[[#This Row],[Ocak]:[Aralık]])</f>
        <v>0</v>
      </c>
      <c r="U64" s="474"/>
      <c r="V64" s="475"/>
      <c r="W64" s="464"/>
    </row>
    <row r="65" spans="1:23" x14ac:dyDescent="0.25">
      <c r="A65" s="538"/>
      <c r="B65" s="53" t="s">
        <v>46</v>
      </c>
      <c r="C65" s="57" t="s">
        <v>6</v>
      </c>
      <c r="D65" s="57" t="s">
        <v>45</v>
      </c>
      <c r="E65" s="210"/>
      <c r="F65" s="108"/>
      <c r="G65" s="108"/>
      <c r="H65" s="59"/>
      <c r="I65" s="59"/>
      <c r="J65" s="59"/>
      <c r="K65" s="59"/>
      <c r="L65" s="59"/>
      <c r="M65" s="59"/>
      <c r="N65" s="59"/>
      <c r="O65" s="59"/>
      <c r="P65" s="59"/>
      <c r="Q65" s="59">
        <f>SUM(Tablo2[[#This Row],[Ocak]:[Aralık]])</f>
        <v>0</v>
      </c>
      <c r="U65" s="474"/>
      <c r="V65" s="475"/>
      <c r="W65" s="464"/>
    </row>
    <row r="66" spans="1:23" x14ac:dyDescent="0.25">
      <c r="A66" s="538"/>
      <c r="B66" s="53" t="s">
        <v>46</v>
      </c>
      <c r="C66" s="57" t="s">
        <v>6</v>
      </c>
      <c r="D66" s="57" t="s">
        <v>48</v>
      </c>
      <c r="E66" s="210"/>
      <c r="F66" s="108"/>
      <c r="G66" s="108"/>
      <c r="H66" s="59"/>
      <c r="I66" s="59"/>
      <c r="J66" s="59"/>
      <c r="K66" s="59"/>
      <c r="L66" s="59"/>
      <c r="M66" s="59"/>
      <c r="N66" s="59"/>
      <c r="O66" s="59"/>
      <c r="P66" s="59"/>
      <c r="Q66" s="59">
        <f>SUM(Tablo2[[#This Row],[Ocak]:[Aralık]])</f>
        <v>0</v>
      </c>
      <c r="U66" s="474"/>
      <c r="V66" s="474"/>
      <c r="W66" s="477"/>
    </row>
    <row r="67" spans="1:23" x14ac:dyDescent="0.25">
      <c r="A67" s="538"/>
      <c r="B67" s="53" t="s">
        <v>46</v>
      </c>
      <c r="C67" s="57" t="s">
        <v>6</v>
      </c>
      <c r="D67" s="57" t="s">
        <v>50</v>
      </c>
      <c r="E67" s="210"/>
      <c r="F67" s="108"/>
      <c r="G67" s="108"/>
      <c r="H67" s="59"/>
      <c r="I67" s="59"/>
      <c r="J67" s="59"/>
      <c r="K67" s="59"/>
      <c r="L67" s="59"/>
      <c r="M67" s="59"/>
      <c r="N67" s="59"/>
      <c r="O67" s="59"/>
      <c r="P67" s="59"/>
      <c r="Q67" s="59">
        <f>SUM(Tablo2[[#This Row],[Ocak]:[Aralık]])</f>
        <v>0</v>
      </c>
      <c r="U67" s="474"/>
      <c r="V67" s="475"/>
      <c r="W67" s="464"/>
    </row>
    <row r="68" spans="1:23" x14ac:dyDescent="0.25">
      <c r="A68" s="538">
        <v>2</v>
      </c>
      <c r="B68" s="53" t="s">
        <v>46</v>
      </c>
      <c r="C68" s="57" t="s">
        <v>10</v>
      </c>
      <c r="D68" s="57" t="s">
        <v>7</v>
      </c>
      <c r="E68" s="210"/>
      <c r="F68" s="108"/>
      <c r="G68" s="108"/>
      <c r="H68" s="59"/>
      <c r="I68" s="59"/>
      <c r="J68" s="59"/>
      <c r="K68" s="59">
        <v>760</v>
      </c>
      <c r="L68" s="59"/>
      <c r="M68" s="59"/>
      <c r="N68" s="59"/>
      <c r="O68" s="59"/>
      <c r="P68" s="59"/>
      <c r="Q68" s="59">
        <f>SUM(Tablo2[[#This Row],[Ocak]:[Aralık]])</f>
        <v>760</v>
      </c>
      <c r="U68" s="474"/>
      <c r="V68" s="475"/>
      <c r="W68" s="464"/>
    </row>
    <row r="69" spans="1:23" x14ac:dyDescent="0.25">
      <c r="A69" s="538"/>
      <c r="B69" s="53" t="s">
        <v>46</v>
      </c>
      <c r="C69" s="57" t="s">
        <v>10</v>
      </c>
      <c r="D69" s="57" t="s">
        <v>11</v>
      </c>
      <c r="E69" s="210"/>
      <c r="F69" s="108"/>
      <c r="G69" s="108"/>
      <c r="H69" s="59"/>
      <c r="I69" s="59"/>
      <c r="J69" s="59"/>
      <c r="K69" s="59">
        <v>340</v>
      </c>
      <c r="L69" s="59"/>
      <c r="M69" s="59"/>
      <c r="N69" s="59"/>
      <c r="O69" s="59"/>
      <c r="P69" s="59"/>
      <c r="Q69" s="59">
        <f>SUM(Tablo2[[#This Row],[Ocak]:[Aralık]])</f>
        <v>340</v>
      </c>
      <c r="U69" s="474"/>
      <c r="V69" s="475"/>
      <c r="W69" s="464"/>
    </row>
    <row r="70" spans="1:23" x14ac:dyDescent="0.25">
      <c r="A70" s="538"/>
      <c r="B70" s="53" t="s">
        <v>46</v>
      </c>
      <c r="C70" s="57" t="s">
        <v>10</v>
      </c>
      <c r="D70" s="57" t="s">
        <v>15</v>
      </c>
      <c r="E70" s="210"/>
      <c r="F70" s="108"/>
      <c r="G70" s="108"/>
      <c r="H70" s="59"/>
      <c r="I70" s="59"/>
      <c r="J70" s="59"/>
      <c r="K70" s="59"/>
      <c r="L70" s="59"/>
      <c r="M70" s="59"/>
      <c r="N70" s="59"/>
      <c r="O70" s="59"/>
      <c r="P70" s="59"/>
      <c r="Q70" s="59">
        <f>SUM(Tablo2[[#This Row],[Ocak]:[Aralık]])</f>
        <v>0</v>
      </c>
      <c r="U70" s="474"/>
      <c r="V70" s="475"/>
      <c r="W70" s="464"/>
    </row>
    <row r="71" spans="1:23" x14ac:dyDescent="0.25">
      <c r="A71" s="538"/>
      <c r="B71" s="53" t="s">
        <v>46</v>
      </c>
      <c r="C71" s="57" t="s">
        <v>10</v>
      </c>
      <c r="D71" s="57" t="s">
        <v>19</v>
      </c>
      <c r="E71" s="210"/>
      <c r="F71" s="108"/>
      <c r="G71" s="108"/>
      <c r="H71" s="59"/>
      <c r="I71" s="59"/>
      <c r="J71" s="59"/>
      <c r="K71" s="59"/>
      <c r="L71" s="59"/>
      <c r="M71" s="59"/>
      <c r="N71" s="59"/>
      <c r="O71" s="59"/>
      <c r="P71" s="59"/>
      <c r="Q71" s="59">
        <f>SUM(Tablo2[[#This Row],[Ocak]:[Aralık]])</f>
        <v>0</v>
      </c>
      <c r="U71" s="474"/>
      <c r="V71" s="475"/>
      <c r="W71" s="464"/>
    </row>
    <row r="72" spans="1:23" x14ac:dyDescent="0.25">
      <c r="A72" s="538"/>
      <c r="B72" s="53" t="s">
        <v>46</v>
      </c>
      <c r="C72" s="57" t="s">
        <v>10</v>
      </c>
      <c r="D72" s="57" t="s">
        <v>22</v>
      </c>
      <c r="E72" s="210"/>
      <c r="F72" s="108"/>
      <c r="G72" s="108"/>
      <c r="H72" s="59"/>
      <c r="I72" s="59"/>
      <c r="J72" s="59"/>
      <c r="K72" s="59"/>
      <c r="L72" s="59"/>
      <c r="M72" s="59"/>
      <c r="N72" s="59"/>
      <c r="O72" s="59"/>
      <c r="P72" s="59"/>
      <c r="Q72" s="59">
        <f>SUM(Tablo2[[#This Row],[Ocak]:[Aralık]])</f>
        <v>0</v>
      </c>
      <c r="U72" s="474"/>
      <c r="V72" s="475"/>
      <c r="W72" s="464"/>
    </row>
    <row r="73" spans="1:23" x14ac:dyDescent="0.25">
      <c r="A73" s="538"/>
      <c r="B73" s="53" t="s">
        <v>46</v>
      </c>
      <c r="C73" s="57" t="s">
        <v>10</v>
      </c>
      <c r="D73" s="57" t="s">
        <v>25</v>
      </c>
      <c r="E73" s="210"/>
      <c r="F73" s="108"/>
      <c r="G73" s="108"/>
      <c r="H73" s="59"/>
      <c r="I73" s="59"/>
      <c r="J73" s="59"/>
      <c r="K73" s="59"/>
      <c r="L73" s="59"/>
      <c r="M73" s="59"/>
      <c r="N73" s="59"/>
      <c r="O73" s="59"/>
      <c r="P73" s="59"/>
      <c r="Q73" s="59">
        <f>SUM(Tablo2[[#This Row],[Ocak]:[Aralık]])</f>
        <v>0</v>
      </c>
      <c r="U73" s="474"/>
      <c r="V73" s="474"/>
      <c r="W73" s="477"/>
    </row>
    <row r="74" spans="1:23" x14ac:dyDescent="0.25">
      <c r="A74" s="538"/>
      <c r="B74" s="53" t="s">
        <v>46</v>
      </c>
      <c r="C74" s="57" t="s">
        <v>10</v>
      </c>
      <c r="D74" s="57" t="s">
        <v>28</v>
      </c>
      <c r="E74" s="210"/>
      <c r="F74" s="108"/>
      <c r="G74" s="108"/>
      <c r="H74" s="59"/>
      <c r="I74" s="59"/>
      <c r="J74" s="59"/>
      <c r="K74" s="59"/>
      <c r="L74" s="59"/>
      <c r="M74" s="59"/>
      <c r="N74" s="59"/>
      <c r="O74" s="59"/>
      <c r="P74" s="59"/>
      <c r="Q74" s="59">
        <f>SUM(Tablo2[[#This Row],[Ocak]:[Aralık]])</f>
        <v>0</v>
      </c>
      <c r="U74" s="474"/>
      <c r="V74" s="475"/>
      <c r="W74" s="464"/>
    </row>
    <row r="75" spans="1:23" x14ac:dyDescent="0.25">
      <c r="A75" s="538"/>
      <c r="B75" s="53" t="s">
        <v>46</v>
      </c>
      <c r="C75" s="57" t="s">
        <v>10</v>
      </c>
      <c r="D75" s="57" t="s">
        <v>31</v>
      </c>
      <c r="E75" s="210"/>
      <c r="F75" s="108"/>
      <c r="G75" s="108"/>
      <c r="H75" s="59"/>
      <c r="I75" s="59"/>
      <c r="J75" s="59"/>
      <c r="K75" s="59"/>
      <c r="L75" s="59"/>
      <c r="M75" s="59"/>
      <c r="N75" s="59"/>
      <c r="O75" s="59"/>
      <c r="P75" s="59"/>
      <c r="Q75" s="59">
        <f>SUM(Tablo2[[#This Row],[Ocak]:[Aralık]])</f>
        <v>0</v>
      </c>
      <c r="U75" s="474"/>
      <c r="V75" s="475"/>
      <c r="W75" s="464"/>
    </row>
    <row r="76" spans="1:23" x14ac:dyDescent="0.25">
      <c r="A76" s="538"/>
      <c r="B76" s="53" t="s">
        <v>46</v>
      </c>
      <c r="C76" s="57" t="s">
        <v>10</v>
      </c>
      <c r="D76" s="57" t="s">
        <v>34</v>
      </c>
      <c r="E76" s="210"/>
      <c r="F76" s="108"/>
      <c r="G76" s="108"/>
      <c r="H76" s="59"/>
      <c r="I76" s="59"/>
      <c r="J76" s="59"/>
      <c r="K76" s="59"/>
      <c r="L76" s="59"/>
      <c r="M76" s="59"/>
      <c r="N76" s="59"/>
      <c r="O76" s="59"/>
      <c r="P76" s="59"/>
      <c r="Q76" s="59">
        <f>SUM(Tablo2[[#This Row],[Ocak]:[Aralık]])</f>
        <v>0</v>
      </c>
      <c r="U76" s="474"/>
      <c r="V76" s="475"/>
      <c r="W76" s="464"/>
    </row>
    <row r="77" spans="1:23" x14ac:dyDescent="0.25">
      <c r="A77" s="538"/>
      <c r="B77" s="53" t="s">
        <v>46</v>
      </c>
      <c r="C77" s="57" t="s">
        <v>10</v>
      </c>
      <c r="D77" s="57" t="s">
        <v>37</v>
      </c>
      <c r="E77" s="210"/>
      <c r="F77" s="108"/>
      <c r="G77" s="108"/>
      <c r="H77" s="59"/>
      <c r="I77" s="59"/>
      <c r="J77" s="59"/>
      <c r="K77" s="59"/>
      <c r="L77" s="59">
        <v>3010</v>
      </c>
      <c r="M77" s="59"/>
      <c r="N77" s="59"/>
      <c r="O77" s="59"/>
      <c r="P77" s="59"/>
      <c r="Q77" s="59">
        <f>SUM(Tablo2[[#This Row],[Ocak]:[Aralık]])</f>
        <v>3010</v>
      </c>
      <c r="U77" s="474"/>
      <c r="V77" s="475"/>
      <c r="W77" s="464"/>
    </row>
    <row r="78" spans="1:23" x14ac:dyDescent="0.25">
      <c r="A78" s="538"/>
      <c r="B78" s="53" t="s">
        <v>46</v>
      </c>
      <c r="C78" s="57" t="s">
        <v>10</v>
      </c>
      <c r="D78" s="57" t="s">
        <v>39</v>
      </c>
      <c r="E78" s="210"/>
      <c r="F78" s="108"/>
      <c r="G78" s="108"/>
      <c r="H78" s="59"/>
      <c r="I78" s="59"/>
      <c r="J78" s="59"/>
      <c r="K78" s="59"/>
      <c r="L78" s="59"/>
      <c r="M78" s="59"/>
      <c r="N78" s="59"/>
      <c r="O78" s="59"/>
      <c r="P78" s="59"/>
      <c r="Q78" s="59">
        <f>SUM(Tablo2[[#This Row],[Ocak]:[Aralık]])</f>
        <v>0</v>
      </c>
      <c r="U78" s="474"/>
      <c r="V78" s="474"/>
      <c r="W78" s="477"/>
    </row>
    <row r="79" spans="1:23" x14ac:dyDescent="0.25">
      <c r="A79" s="538"/>
      <c r="B79" s="53" t="s">
        <v>46</v>
      </c>
      <c r="C79" s="57" t="s">
        <v>10</v>
      </c>
      <c r="D79" s="57" t="s">
        <v>42</v>
      </c>
      <c r="E79" s="210"/>
      <c r="F79" s="108"/>
      <c r="G79" s="108"/>
      <c r="H79" s="59"/>
      <c r="I79" s="59"/>
      <c r="J79" s="59"/>
      <c r="K79" s="59"/>
      <c r="L79" s="59"/>
      <c r="M79" s="59"/>
      <c r="N79" s="59"/>
      <c r="O79" s="59"/>
      <c r="P79" s="59"/>
      <c r="Q79" s="59">
        <f>SUM(Tablo2[[#This Row],[Ocak]:[Aralık]])</f>
        <v>0</v>
      </c>
      <c r="U79" s="474"/>
      <c r="V79" s="475"/>
      <c r="W79" s="464"/>
    </row>
    <row r="80" spans="1:23" x14ac:dyDescent="0.25">
      <c r="A80" s="538"/>
      <c r="B80" s="53" t="s">
        <v>46</v>
      </c>
      <c r="C80" s="57" t="s">
        <v>10</v>
      </c>
      <c r="D80" s="57" t="s">
        <v>45</v>
      </c>
      <c r="E80" s="210"/>
      <c r="F80" s="108"/>
      <c r="G80" s="108"/>
      <c r="H80" s="59"/>
      <c r="I80" s="59"/>
      <c r="J80" s="59"/>
      <c r="K80" s="59"/>
      <c r="L80" s="59"/>
      <c r="M80" s="59"/>
      <c r="N80" s="59"/>
      <c r="O80" s="59"/>
      <c r="P80" s="59"/>
      <c r="Q80" s="59">
        <f>SUM(Tablo2[[#This Row],[Ocak]:[Aralık]])</f>
        <v>0</v>
      </c>
      <c r="U80" s="474"/>
      <c r="V80" s="475"/>
      <c r="W80" s="464"/>
    </row>
    <row r="81" spans="1:26" x14ac:dyDescent="0.25">
      <c r="A81" s="538"/>
      <c r="B81" s="53" t="s">
        <v>46</v>
      </c>
      <c r="C81" s="57" t="s">
        <v>10</v>
      </c>
      <c r="D81" s="57" t="s">
        <v>48</v>
      </c>
      <c r="E81" s="210"/>
      <c r="F81" s="108"/>
      <c r="G81" s="108"/>
      <c r="H81" s="59"/>
      <c r="I81" s="59"/>
      <c r="J81" s="59"/>
      <c r="K81" s="59"/>
      <c r="L81" s="59"/>
      <c r="M81" s="59"/>
      <c r="N81" s="59"/>
      <c r="O81" s="59"/>
      <c r="P81" s="59"/>
      <c r="Q81" s="59">
        <f>SUM(Tablo2[[#This Row],[Ocak]:[Aralık]])</f>
        <v>0</v>
      </c>
      <c r="U81" s="474"/>
      <c r="V81" s="475"/>
      <c r="W81" s="464"/>
    </row>
    <row r="82" spans="1:26" x14ac:dyDescent="0.25">
      <c r="A82" s="538"/>
      <c r="B82" s="53" t="s">
        <v>46</v>
      </c>
      <c r="C82" s="57" t="s">
        <v>10</v>
      </c>
      <c r="D82" s="57" t="s">
        <v>50</v>
      </c>
      <c r="E82" s="210"/>
      <c r="F82" s="108"/>
      <c r="G82" s="108"/>
      <c r="H82" s="59"/>
      <c r="I82" s="59"/>
      <c r="J82" s="59"/>
      <c r="K82" s="59"/>
      <c r="L82" s="59"/>
      <c r="M82" s="59">
        <v>185</v>
      </c>
      <c r="N82" s="59"/>
      <c r="O82" s="59"/>
      <c r="P82" s="59"/>
      <c r="Q82" s="59">
        <f>SUM(Tablo2[[#This Row],[Ocak]:[Aralık]])</f>
        <v>185</v>
      </c>
      <c r="U82" s="474"/>
      <c r="V82" s="475"/>
      <c r="W82" s="464"/>
      <c r="X82" s="380"/>
    </row>
    <row r="83" spans="1:26" x14ac:dyDescent="0.25">
      <c r="A83" s="54">
        <v>5</v>
      </c>
      <c r="B83" s="53" t="s">
        <v>46</v>
      </c>
      <c r="C83" s="57" t="s">
        <v>14</v>
      </c>
      <c r="D83" s="57"/>
      <c r="E83" s="210">
        <v>1360</v>
      </c>
      <c r="F83" s="108">
        <v>300</v>
      </c>
      <c r="G83" s="108">
        <v>1150</v>
      </c>
      <c r="H83" s="59">
        <v>1400</v>
      </c>
      <c r="I83" s="59">
        <v>380</v>
      </c>
      <c r="J83" s="59"/>
      <c r="K83" s="59">
        <v>3665</v>
      </c>
      <c r="L83" s="59">
        <v>4410</v>
      </c>
      <c r="M83" s="59"/>
      <c r="N83" s="59"/>
      <c r="O83" s="59"/>
      <c r="P83" s="59"/>
      <c r="Q83" s="59">
        <f>SUM(Tablo2[[#This Row],[Ocak]:[Aralık]])</f>
        <v>12665</v>
      </c>
      <c r="U83" s="474"/>
      <c r="V83" s="475"/>
      <c r="W83" s="464"/>
      <c r="X83" s="380"/>
      <c r="Y83" s="380"/>
      <c r="Z83" s="380"/>
    </row>
    <row r="84" spans="1:26" x14ac:dyDescent="0.25">
      <c r="A84" s="54">
        <v>6</v>
      </c>
      <c r="B84" s="53" t="s">
        <v>46</v>
      </c>
      <c r="C84" s="57" t="s">
        <v>18</v>
      </c>
      <c r="D84" s="57"/>
      <c r="E84" s="210"/>
      <c r="F84" s="108"/>
      <c r="G84" s="108">
        <v>300</v>
      </c>
      <c r="H84" s="59"/>
      <c r="I84" s="59"/>
      <c r="J84" s="59"/>
      <c r="K84" s="59"/>
      <c r="L84" s="59"/>
      <c r="M84" s="59"/>
      <c r="N84" s="59"/>
      <c r="O84" s="59"/>
      <c r="P84" s="59"/>
      <c r="Q84" s="59">
        <f>SUM(Tablo2[[#This Row],[Ocak]:[Aralık]])</f>
        <v>300</v>
      </c>
      <c r="U84" s="474"/>
      <c r="V84" s="475"/>
      <c r="W84" s="464"/>
      <c r="X84" s="380"/>
      <c r="Y84" s="380"/>
      <c r="Z84" s="380"/>
    </row>
    <row r="85" spans="1:26" x14ac:dyDescent="0.25">
      <c r="A85" s="54">
        <v>7</v>
      </c>
      <c r="B85" s="53" t="s">
        <v>46</v>
      </c>
      <c r="C85" s="57" t="s">
        <v>21</v>
      </c>
      <c r="D85" s="57"/>
      <c r="E85" s="210"/>
      <c r="F85" s="108">
        <v>1090</v>
      </c>
      <c r="G85" s="108"/>
      <c r="H85" s="59"/>
      <c r="I85" s="59"/>
      <c r="J85" s="59"/>
      <c r="K85" s="59"/>
      <c r="L85" s="59"/>
      <c r="M85" s="59"/>
      <c r="N85" s="59"/>
      <c r="O85" s="59"/>
      <c r="P85" s="59"/>
      <c r="Q85" s="59">
        <f>SUM(Tablo2[[#This Row],[Ocak]:[Aralık]])</f>
        <v>1090</v>
      </c>
      <c r="U85" s="474"/>
      <c r="V85" s="474"/>
      <c r="W85" s="477"/>
    </row>
    <row r="86" spans="1:26" x14ac:dyDescent="0.25">
      <c r="A86" s="54">
        <v>8</v>
      </c>
      <c r="B86" s="53" t="s">
        <v>46</v>
      </c>
      <c r="C86" s="57" t="s">
        <v>24</v>
      </c>
      <c r="D86" s="57"/>
      <c r="E86" s="210">
        <v>3560</v>
      </c>
      <c r="F86" s="108"/>
      <c r="G86" s="108">
        <v>6000</v>
      </c>
      <c r="H86" s="59"/>
      <c r="I86" s="59">
        <v>1400</v>
      </c>
      <c r="J86" s="59"/>
      <c r="K86" s="59">
        <v>3620</v>
      </c>
      <c r="L86" s="59">
        <v>3070</v>
      </c>
      <c r="M86" s="59">
        <v>1965</v>
      </c>
      <c r="N86" s="59"/>
      <c r="O86" s="59"/>
      <c r="P86" s="59"/>
      <c r="Q86" s="59">
        <f>SUM(Tablo2[[#This Row],[Ocak]:[Aralık]])</f>
        <v>19615</v>
      </c>
      <c r="U86" s="474"/>
      <c r="V86" s="475"/>
      <c r="W86" s="464"/>
    </row>
    <row r="87" spans="1:26" x14ac:dyDescent="0.25">
      <c r="A87" s="54">
        <v>9</v>
      </c>
      <c r="B87" s="53" t="s">
        <v>46</v>
      </c>
      <c r="C87" s="57" t="s">
        <v>27</v>
      </c>
      <c r="D87" s="57"/>
      <c r="E87" s="210"/>
      <c r="F87" s="108">
        <v>600</v>
      </c>
      <c r="G87" s="108">
        <v>2000</v>
      </c>
      <c r="H87" s="59"/>
      <c r="I87" s="59"/>
      <c r="J87" s="59"/>
      <c r="K87" s="59"/>
      <c r="L87" s="59"/>
      <c r="M87" s="59"/>
      <c r="N87" s="59"/>
      <c r="O87" s="59"/>
      <c r="P87" s="59"/>
      <c r="Q87" s="59">
        <f>SUM(Tablo2[[#This Row],[Ocak]:[Aralık]])</f>
        <v>2600</v>
      </c>
      <c r="U87" s="474"/>
      <c r="V87" s="475"/>
      <c r="W87" s="464"/>
    </row>
    <row r="88" spans="1:26" x14ac:dyDescent="0.25">
      <c r="A88" s="54">
        <v>10</v>
      </c>
      <c r="B88" s="53" t="s">
        <v>46</v>
      </c>
      <c r="C88" s="57" t="s">
        <v>30</v>
      </c>
      <c r="D88" s="57"/>
      <c r="E88" s="210">
        <v>1080</v>
      </c>
      <c r="F88" s="108">
        <v>1120</v>
      </c>
      <c r="G88" s="108"/>
      <c r="H88" s="59"/>
      <c r="I88" s="59">
        <v>1780</v>
      </c>
      <c r="J88" s="59"/>
      <c r="K88" s="59">
        <v>6120</v>
      </c>
      <c r="L88" s="59"/>
      <c r="M88" s="59"/>
      <c r="N88" s="59"/>
      <c r="O88" s="59"/>
      <c r="P88" s="59"/>
      <c r="Q88" s="59">
        <f>SUM(Tablo2[[#This Row],[Ocak]:[Aralık]])</f>
        <v>10100</v>
      </c>
      <c r="U88" s="474"/>
      <c r="V88" s="475"/>
      <c r="W88" s="464"/>
    </row>
    <row r="89" spans="1:26" x14ac:dyDescent="0.25">
      <c r="A89" s="54">
        <v>11</v>
      </c>
      <c r="B89" s="53" t="s">
        <v>46</v>
      </c>
      <c r="C89" s="57" t="s">
        <v>33</v>
      </c>
      <c r="D89" s="57"/>
      <c r="E89" s="210">
        <v>810</v>
      </c>
      <c r="F89" s="108">
        <v>400</v>
      </c>
      <c r="G89" s="108">
        <v>160</v>
      </c>
      <c r="H89" s="59">
        <v>1260</v>
      </c>
      <c r="I89" s="59"/>
      <c r="J89" s="59"/>
      <c r="K89" s="59"/>
      <c r="L89" s="59"/>
      <c r="M89" s="59"/>
      <c r="N89" s="59"/>
      <c r="O89" s="59"/>
      <c r="P89" s="59"/>
      <c r="Q89" s="59">
        <f>SUM(Tablo2[[#This Row],[Ocak]:[Aralık]])</f>
        <v>2630</v>
      </c>
      <c r="U89" s="474"/>
      <c r="V89" s="475"/>
      <c r="W89" s="464"/>
    </row>
    <row r="90" spans="1:26" x14ac:dyDescent="0.25">
      <c r="A90" s="54">
        <v>12</v>
      </c>
      <c r="B90" s="53" t="s">
        <v>46</v>
      </c>
      <c r="C90" s="57" t="s">
        <v>36</v>
      </c>
      <c r="D90" s="57"/>
      <c r="E90" s="210"/>
      <c r="F90" s="108"/>
      <c r="G90" s="108"/>
      <c r="H90" s="59"/>
      <c r="I90" s="59"/>
      <c r="J90" s="59"/>
      <c r="K90" s="59"/>
      <c r="L90" s="59"/>
      <c r="M90" s="59"/>
      <c r="N90" s="59"/>
      <c r="O90" s="59"/>
      <c r="P90" s="59"/>
      <c r="Q90" s="59">
        <f>SUM(Tablo2[[#This Row],[Ocak]:[Aralık]])</f>
        <v>0</v>
      </c>
      <c r="U90" s="474"/>
      <c r="V90" s="474"/>
      <c r="W90" s="477"/>
    </row>
    <row r="91" spans="1:26" x14ac:dyDescent="0.25">
      <c r="A91" s="54">
        <v>13</v>
      </c>
      <c r="B91" s="53" t="s">
        <v>46</v>
      </c>
      <c r="C91" s="57" t="s">
        <v>38</v>
      </c>
      <c r="D91" s="57"/>
      <c r="E91" s="210">
        <v>10110</v>
      </c>
      <c r="F91" s="108"/>
      <c r="G91" s="108">
        <v>6000</v>
      </c>
      <c r="H91" s="59">
        <v>2850</v>
      </c>
      <c r="I91" s="59"/>
      <c r="J91" s="59"/>
      <c r="K91" s="59">
        <v>4160</v>
      </c>
      <c r="L91" s="59"/>
      <c r="M91" s="59"/>
      <c r="N91" s="59"/>
      <c r="O91" s="59"/>
      <c r="P91" s="59"/>
      <c r="Q91" s="59">
        <f>SUM(Tablo2[[#This Row],[Ocak]:[Aralık]])</f>
        <v>23120</v>
      </c>
      <c r="U91" s="370"/>
      <c r="V91" s="419"/>
    </row>
    <row r="92" spans="1:26" x14ac:dyDescent="0.25">
      <c r="A92" s="54">
        <v>14</v>
      </c>
      <c r="B92" s="53" t="s">
        <v>46</v>
      </c>
      <c r="C92" s="57" t="s">
        <v>41</v>
      </c>
      <c r="D92" s="57"/>
      <c r="E92" s="210"/>
      <c r="F92" s="108"/>
      <c r="G92" s="108"/>
      <c r="H92" s="59"/>
      <c r="I92" s="59"/>
      <c r="J92" s="59"/>
      <c r="K92" s="59"/>
      <c r="L92" s="59"/>
      <c r="M92" s="59"/>
      <c r="N92" s="59"/>
      <c r="O92" s="59"/>
      <c r="P92" s="59"/>
      <c r="Q92" s="59">
        <f>SUM(Tablo2[[#This Row],[Ocak]:[Aralık]])</f>
        <v>0</v>
      </c>
      <c r="U92" s="370"/>
      <c r="V92" s="419"/>
    </row>
    <row r="93" spans="1:26" x14ac:dyDescent="0.25">
      <c r="A93" s="54">
        <v>15</v>
      </c>
      <c r="B93" s="53" t="s">
        <v>46</v>
      </c>
      <c r="C93" s="57" t="s">
        <v>44</v>
      </c>
      <c r="D93" s="57"/>
      <c r="E93" s="210"/>
      <c r="F93" s="108"/>
      <c r="G93" s="108"/>
      <c r="H93" s="59"/>
      <c r="I93" s="59"/>
      <c r="J93" s="59"/>
      <c r="K93" s="59"/>
      <c r="L93" s="59"/>
      <c r="M93" s="59">
        <v>300</v>
      </c>
      <c r="N93" s="59"/>
      <c r="O93" s="59"/>
      <c r="P93" s="59"/>
      <c r="Q93" s="59">
        <f>SUM(Tablo2[[#This Row],[Ocak]:[Aralık]])</f>
        <v>300</v>
      </c>
      <c r="U93" s="370"/>
      <c r="V93" s="419"/>
    </row>
    <row r="94" spans="1:26" x14ac:dyDescent="0.25">
      <c r="A94" s="54">
        <v>16</v>
      </c>
      <c r="B94" s="53" t="s">
        <v>46</v>
      </c>
      <c r="C94" s="57" t="s">
        <v>47</v>
      </c>
      <c r="D94" s="57"/>
      <c r="E94" s="210">
        <v>110</v>
      </c>
      <c r="F94" s="108">
        <v>60</v>
      </c>
      <c r="G94" s="108">
        <v>100</v>
      </c>
      <c r="H94" s="59">
        <v>280</v>
      </c>
      <c r="I94" s="59">
        <v>240</v>
      </c>
      <c r="J94" s="59"/>
      <c r="K94" s="59">
        <v>1255</v>
      </c>
      <c r="L94" s="59">
        <v>610</v>
      </c>
      <c r="M94" s="59">
        <v>1465</v>
      </c>
      <c r="N94" s="59"/>
      <c r="O94" s="59"/>
      <c r="P94" s="59"/>
      <c r="Q94" s="59">
        <f>SUM(Tablo2[[#This Row],[Ocak]:[Aralık]])</f>
        <v>4120</v>
      </c>
      <c r="U94" s="370"/>
      <c r="V94" s="419"/>
    </row>
    <row r="95" spans="1:26" x14ac:dyDescent="0.25">
      <c r="A95" s="54">
        <v>17</v>
      </c>
      <c r="B95" s="53" t="s">
        <v>46</v>
      </c>
      <c r="C95" s="57" t="s">
        <v>49</v>
      </c>
      <c r="D95" s="57"/>
      <c r="E95" s="210"/>
      <c r="F95" s="108"/>
      <c r="G95" s="108"/>
      <c r="H95" s="59"/>
      <c r="I95" s="59"/>
      <c r="J95" s="59"/>
      <c r="K95" s="59"/>
      <c r="L95" s="59"/>
      <c r="M95" s="59">
        <v>100</v>
      </c>
      <c r="N95" s="59"/>
      <c r="O95" s="59"/>
      <c r="P95" s="59"/>
      <c r="Q95" s="59">
        <f>SUM(Tablo2[[#This Row],[Ocak]:[Aralık]])</f>
        <v>100</v>
      </c>
      <c r="U95" s="370"/>
      <c r="V95" s="419"/>
    </row>
    <row r="96" spans="1:26" x14ac:dyDescent="0.3">
      <c r="A96" s="54">
        <v>18</v>
      </c>
      <c r="B96" s="53" t="s">
        <v>46</v>
      </c>
      <c r="C96" s="57" t="s">
        <v>51</v>
      </c>
      <c r="D96" s="57"/>
      <c r="E96" s="210"/>
      <c r="F96" s="108"/>
      <c r="G96" s="108"/>
      <c r="H96" s="59"/>
      <c r="I96" s="54"/>
      <c r="J96" s="59"/>
      <c r="K96" s="59"/>
      <c r="L96" s="59"/>
      <c r="M96" s="59"/>
      <c r="N96" s="59"/>
      <c r="O96" s="59"/>
      <c r="P96" s="59"/>
      <c r="Q96" s="59">
        <f>SUM(Tablo2[[#This Row],[Ocak]:[Aralık]])</f>
        <v>0</v>
      </c>
    </row>
    <row r="97" spans="1:17" x14ac:dyDescent="0.3">
      <c r="A97" s="54">
        <v>19</v>
      </c>
      <c r="B97" s="53" t="s">
        <v>46</v>
      </c>
      <c r="C97" s="57" t="s">
        <v>52</v>
      </c>
      <c r="D97" s="57"/>
      <c r="E97" s="210"/>
      <c r="F97" s="108"/>
      <c r="G97" s="108"/>
      <c r="H97" s="59"/>
      <c r="I97" s="59"/>
      <c r="J97" s="59"/>
      <c r="K97" s="59"/>
      <c r="L97" s="59"/>
      <c r="M97" s="59"/>
      <c r="N97" s="59"/>
      <c r="O97" s="59"/>
      <c r="P97" s="59"/>
      <c r="Q97" s="59">
        <f>SUM(Tablo2[[#This Row],[Ocak]:[Aralık]])</f>
        <v>0</v>
      </c>
    </row>
    <row r="98" spans="1:17" x14ac:dyDescent="0.3">
      <c r="A98" s="54">
        <v>20</v>
      </c>
      <c r="B98" s="53" t="s">
        <v>46</v>
      </c>
      <c r="C98" s="57" t="s">
        <v>53</v>
      </c>
      <c r="D98" s="57"/>
      <c r="E98" s="210"/>
      <c r="F98" s="108"/>
      <c r="G98" s="108"/>
      <c r="H98" s="59"/>
      <c r="I98" s="59"/>
      <c r="J98" s="59"/>
      <c r="K98" s="59"/>
      <c r="L98" s="59"/>
      <c r="M98" s="59"/>
      <c r="N98" s="59"/>
      <c r="O98" s="59"/>
      <c r="P98" s="59"/>
      <c r="Q98" s="59">
        <f>SUM(Tablo2[[#This Row],[Ocak]:[Aralık]])</f>
        <v>0</v>
      </c>
    </row>
    <row r="99" spans="1:17" x14ac:dyDescent="0.3">
      <c r="A99" s="54">
        <v>21</v>
      </c>
      <c r="B99" s="53" t="s">
        <v>46</v>
      </c>
      <c r="C99" s="57" t="s">
        <v>54</v>
      </c>
      <c r="D99" s="57"/>
      <c r="E99" s="210">
        <v>125</v>
      </c>
      <c r="F99" s="108"/>
      <c r="G99" s="108"/>
      <c r="H99" s="59">
        <v>7560</v>
      </c>
      <c r="I99" s="59"/>
      <c r="J99" s="59"/>
      <c r="K99" s="59"/>
      <c r="L99" s="59"/>
      <c r="M99" s="59"/>
      <c r="N99" s="59"/>
      <c r="O99" s="59"/>
      <c r="P99" s="59"/>
      <c r="Q99" s="59">
        <f>SUM(Tablo2[[#This Row],[Ocak]:[Aralık]])</f>
        <v>7685</v>
      </c>
    </row>
    <row r="100" spans="1:17" x14ac:dyDescent="0.3">
      <c r="A100" s="54">
        <v>22</v>
      </c>
      <c r="B100" s="53" t="s">
        <v>46</v>
      </c>
      <c r="C100" s="57" t="s">
        <v>55</v>
      </c>
      <c r="D100" s="57"/>
      <c r="E100" s="210"/>
      <c r="F100" s="108"/>
      <c r="G100" s="108"/>
      <c r="H100" s="59"/>
      <c r="I100" s="59"/>
      <c r="J100" s="59"/>
      <c r="K100" s="59"/>
      <c r="L100" s="59"/>
      <c r="M100" s="59"/>
      <c r="N100" s="59"/>
      <c r="O100" s="59"/>
      <c r="P100" s="59"/>
      <c r="Q100" s="59">
        <f>SUM(Tablo2[[#This Row],[Ocak]:[Aralık]])</f>
        <v>0</v>
      </c>
    </row>
    <row r="101" spans="1:17" x14ac:dyDescent="0.3">
      <c r="A101" s="54">
        <v>23</v>
      </c>
      <c r="B101" s="53" t="s">
        <v>46</v>
      </c>
      <c r="C101" s="57" t="s">
        <v>56</v>
      </c>
      <c r="D101" s="57"/>
      <c r="E101" s="210"/>
      <c r="F101" s="108"/>
      <c r="G101" s="108"/>
      <c r="H101" s="59"/>
      <c r="I101" s="59"/>
      <c r="J101" s="59"/>
      <c r="K101" s="59"/>
      <c r="L101" s="59"/>
      <c r="M101" s="59"/>
      <c r="N101" s="59"/>
      <c r="O101" s="59"/>
      <c r="P101" s="59"/>
      <c r="Q101" s="59">
        <f>SUM(Tablo2[[#This Row],[Ocak]:[Aralık]])</f>
        <v>0</v>
      </c>
    </row>
    <row r="102" spans="1:17" x14ac:dyDescent="0.3">
      <c r="A102" s="54">
        <v>24</v>
      </c>
      <c r="B102" s="53" t="s">
        <v>46</v>
      </c>
      <c r="C102" s="57" t="s">
        <v>57</v>
      </c>
      <c r="D102" s="57"/>
      <c r="E102" s="210"/>
      <c r="F102" s="108"/>
      <c r="G102" s="108"/>
      <c r="H102" s="59"/>
      <c r="I102" s="59"/>
      <c r="J102" s="59"/>
      <c r="K102" s="59"/>
      <c r="L102" s="59"/>
      <c r="M102" s="59">
        <v>335</v>
      </c>
      <c r="N102" s="59"/>
      <c r="O102" s="59"/>
      <c r="P102" s="59"/>
      <c r="Q102" s="59">
        <f>SUM(Tablo2[[#This Row],[Ocak]:[Aralık]])</f>
        <v>335</v>
      </c>
    </row>
    <row r="103" spans="1:17" x14ac:dyDescent="0.3">
      <c r="A103" s="538">
        <v>1</v>
      </c>
      <c r="B103" s="56" t="s">
        <v>13</v>
      </c>
      <c r="C103" s="57" t="s">
        <v>6</v>
      </c>
      <c r="D103" s="57" t="s">
        <v>7</v>
      </c>
      <c r="E103" s="210"/>
      <c r="F103" s="108">
        <v>130</v>
      </c>
      <c r="G103" s="108"/>
      <c r="H103" s="59"/>
      <c r="I103" s="59"/>
      <c r="J103" s="59"/>
      <c r="K103" s="59"/>
      <c r="L103" s="59"/>
      <c r="M103" s="59"/>
      <c r="N103" s="59"/>
      <c r="O103" s="59"/>
      <c r="P103" s="59"/>
      <c r="Q103" s="59">
        <f>SUM(Tablo2[[#This Row],[Ocak]:[Aralık]])</f>
        <v>130</v>
      </c>
    </row>
    <row r="104" spans="1:17" x14ac:dyDescent="0.3">
      <c r="A104" s="538"/>
      <c r="B104" s="56" t="s">
        <v>13</v>
      </c>
      <c r="C104" s="57" t="s">
        <v>6</v>
      </c>
      <c r="D104" s="57" t="s">
        <v>11</v>
      </c>
      <c r="E104" s="210"/>
      <c r="F104" s="108"/>
      <c r="G104" s="108"/>
      <c r="H104" s="59"/>
      <c r="I104" s="59"/>
      <c r="J104" s="59"/>
      <c r="K104" s="59"/>
      <c r="L104" s="59"/>
      <c r="M104" s="59"/>
      <c r="N104" s="59"/>
      <c r="O104" s="59"/>
      <c r="P104" s="59"/>
      <c r="Q104" s="59">
        <f>SUM(Tablo2[[#This Row],[Ocak]:[Aralık]])</f>
        <v>0</v>
      </c>
    </row>
    <row r="105" spans="1:17" x14ac:dyDescent="0.3">
      <c r="A105" s="538"/>
      <c r="B105" s="56" t="s">
        <v>13</v>
      </c>
      <c r="C105" s="57" t="s">
        <v>6</v>
      </c>
      <c r="D105" s="57" t="s">
        <v>15</v>
      </c>
      <c r="E105" s="210"/>
      <c r="F105" s="108"/>
      <c r="G105" s="108">
        <v>90</v>
      </c>
      <c r="H105" s="59"/>
      <c r="I105" s="59"/>
      <c r="J105" s="59"/>
      <c r="K105" s="59"/>
      <c r="L105" s="59">
        <v>3180</v>
      </c>
      <c r="M105" s="59"/>
      <c r="N105" s="59"/>
      <c r="O105" s="59"/>
      <c r="P105" s="59"/>
      <c r="Q105" s="59">
        <f>SUM(Tablo2[[#This Row],[Ocak]:[Aralık]])</f>
        <v>3270</v>
      </c>
    </row>
    <row r="106" spans="1:17" x14ac:dyDescent="0.3">
      <c r="A106" s="538"/>
      <c r="B106" s="56" t="s">
        <v>13</v>
      </c>
      <c r="C106" s="57" t="s">
        <v>6</v>
      </c>
      <c r="D106" s="57" t="s">
        <v>19</v>
      </c>
      <c r="E106" s="210"/>
      <c r="F106" s="108"/>
      <c r="G106" s="108"/>
      <c r="H106" s="59"/>
      <c r="I106" s="59"/>
      <c r="J106" s="59"/>
      <c r="K106" s="59"/>
      <c r="L106" s="59"/>
      <c r="M106" s="59"/>
      <c r="N106" s="59"/>
      <c r="O106" s="59"/>
      <c r="P106" s="59"/>
      <c r="Q106" s="59">
        <f>SUM(Tablo2[[#This Row],[Ocak]:[Aralık]])</f>
        <v>0</v>
      </c>
    </row>
    <row r="107" spans="1:17" x14ac:dyDescent="0.3">
      <c r="A107" s="538"/>
      <c r="B107" s="56" t="s">
        <v>13</v>
      </c>
      <c r="C107" s="57" t="s">
        <v>6</v>
      </c>
      <c r="D107" s="57" t="s">
        <v>22</v>
      </c>
      <c r="E107" s="210"/>
      <c r="F107" s="108"/>
      <c r="G107" s="108"/>
      <c r="H107" s="59"/>
      <c r="I107" s="59"/>
      <c r="J107" s="59"/>
      <c r="K107" s="59"/>
      <c r="L107" s="59"/>
      <c r="M107" s="59"/>
      <c r="N107" s="59"/>
      <c r="O107" s="59"/>
      <c r="P107" s="59"/>
      <c r="Q107" s="59">
        <f>SUM(Tablo2[[#This Row],[Ocak]:[Aralık]])</f>
        <v>0</v>
      </c>
    </row>
    <row r="108" spans="1:17" x14ac:dyDescent="0.3">
      <c r="A108" s="538"/>
      <c r="B108" s="56" t="s">
        <v>13</v>
      </c>
      <c r="C108" s="57" t="s">
        <v>6</v>
      </c>
      <c r="D108" s="57" t="s">
        <v>25</v>
      </c>
      <c r="E108" s="210"/>
      <c r="F108" s="108"/>
      <c r="G108" s="108"/>
      <c r="H108" s="59"/>
      <c r="I108" s="59"/>
      <c r="J108" s="59"/>
      <c r="K108" s="59"/>
      <c r="L108" s="59"/>
      <c r="M108" s="59"/>
      <c r="N108" s="59"/>
      <c r="O108" s="59"/>
      <c r="P108" s="59"/>
      <c r="Q108" s="59">
        <f>SUM(Tablo2[[#This Row],[Ocak]:[Aralık]])</f>
        <v>0</v>
      </c>
    </row>
    <row r="109" spans="1:17" x14ac:dyDescent="0.3">
      <c r="A109" s="538"/>
      <c r="B109" s="56" t="s">
        <v>13</v>
      </c>
      <c r="C109" s="57" t="s">
        <v>6</v>
      </c>
      <c r="D109" s="57" t="s">
        <v>28</v>
      </c>
      <c r="E109" s="210"/>
      <c r="F109" s="108"/>
      <c r="G109" s="108"/>
      <c r="H109" s="59"/>
      <c r="I109" s="59"/>
      <c r="J109" s="59"/>
      <c r="K109" s="59"/>
      <c r="L109" s="59"/>
      <c r="M109" s="59"/>
      <c r="N109" s="59"/>
      <c r="O109" s="59"/>
      <c r="P109" s="59"/>
      <c r="Q109" s="59">
        <f>SUM(Tablo2[[#This Row],[Ocak]:[Aralık]])</f>
        <v>0</v>
      </c>
    </row>
    <row r="110" spans="1:17" x14ac:dyDescent="0.3">
      <c r="A110" s="538"/>
      <c r="B110" s="56" t="s">
        <v>13</v>
      </c>
      <c r="C110" s="57" t="s">
        <v>6</v>
      </c>
      <c r="D110" s="57" t="s">
        <v>31</v>
      </c>
      <c r="E110" s="210"/>
      <c r="F110" s="108"/>
      <c r="G110" s="108"/>
      <c r="H110" s="59"/>
      <c r="I110" s="59"/>
      <c r="J110" s="59"/>
      <c r="K110" s="59"/>
      <c r="L110" s="59"/>
      <c r="M110" s="59"/>
      <c r="N110" s="59"/>
      <c r="O110" s="59"/>
      <c r="P110" s="59"/>
      <c r="Q110" s="59">
        <f>SUM(Tablo2[[#This Row],[Ocak]:[Aralık]])</f>
        <v>0</v>
      </c>
    </row>
    <row r="111" spans="1:17" x14ac:dyDescent="0.3">
      <c r="A111" s="538"/>
      <c r="B111" s="56" t="s">
        <v>13</v>
      </c>
      <c r="C111" s="57" t="s">
        <v>6</v>
      </c>
      <c r="D111" s="57" t="s">
        <v>34</v>
      </c>
      <c r="E111" s="210"/>
      <c r="F111" s="108"/>
      <c r="G111" s="108"/>
      <c r="H111" s="59"/>
      <c r="I111" s="59"/>
      <c r="J111" s="59"/>
      <c r="K111" s="59"/>
      <c r="L111" s="59"/>
      <c r="M111" s="59"/>
      <c r="N111" s="59"/>
      <c r="O111" s="59"/>
      <c r="P111" s="59"/>
      <c r="Q111" s="59">
        <f>SUM(Tablo2[[#This Row],[Ocak]:[Aralık]])</f>
        <v>0</v>
      </c>
    </row>
    <row r="112" spans="1:17" x14ac:dyDescent="0.3">
      <c r="A112" s="538"/>
      <c r="B112" s="56" t="s">
        <v>13</v>
      </c>
      <c r="C112" s="57" t="s">
        <v>6</v>
      </c>
      <c r="D112" s="57" t="s">
        <v>37</v>
      </c>
      <c r="E112" s="210"/>
      <c r="F112" s="108"/>
      <c r="G112" s="108"/>
      <c r="H112" s="59"/>
      <c r="I112" s="59"/>
      <c r="J112" s="59"/>
      <c r="K112" s="59"/>
      <c r="L112" s="59"/>
      <c r="M112" s="59"/>
      <c r="N112" s="59"/>
      <c r="O112" s="59"/>
      <c r="P112" s="59"/>
      <c r="Q112" s="59">
        <f>SUM(Tablo2[[#This Row],[Ocak]:[Aralık]])</f>
        <v>0</v>
      </c>
    </row>
    <row r="113" spans="1:17" x14ac:dyDescent="0.3">
      <c r="A113" s="538"/>
      <c r="B113" s="56" t="s">
        <v>13</v>
      </c>
      <c r="C113" s="57" t="s">
        <v>6</v>
      </c>
      <c r="D113" s="57" t="s">
        <v>39</v>
      </c>
      <c r="E113" s="210"/>
      <c r="F113" s="108"/>
      <c r="G113" s="108"/>
      <c r="H113" s="59"/>
      <c r="I113" s="59"/>
      <c r="J113" s="59"/>
      <c r="K113" s="59"/>
      <c r="L113" s="59"/>
      <c r="M113" s="59"/>
      <c r="N113" s="59"/>
      <c r="O113" s="59"/>
      <c r="P113" s="59"/>
      <c r="Q113" s="59">
        <f>SUM(Tablo2[[#This Row],[Ocak]:[Aralık]])</f>
        <v>0</v>
      </c>
    </row>
    <row r="114" spans="1:17" x14ac:dyDescent="0.3">
      <c r="A114" s="538"/>
      <c r="B114" s="56" t="s">
        <v>13</v>
      </c>
      <c r="C114" s="57" t="s">
        <v>6</v>
      </c>
      <c r="D114" s="57" t="s">
        <v>42</v>
      </c>
      <c r="E114" s="210"/>
      <c r="F114" s="108"/>
      <c r="G114" s="108"/>
      <c r="H114" s="59"/>
      <c r="I114" s="59"/>
      <c r="J114" s="59"/>
      <c r="K114" s="59"/>
      <c r="L114" s="59"/>
      <c r="M114" s="59"/>
      <c r="N114" s="59"/>
      <c r="O114" s="59"/>
      <c r="P114" s="59"/>
      <c r="Q114" s="59">
        <f>SUM(Tablo2[[#This Row],[Ocak]:[Aralık]])</f>
        <v>0</v>
      </c>
    </row>
    <row r="115" spans="1:17" x14ac:dyDescent="0.3">
      <c r="A115" s="538"/>
      <c r="B115" s="56" t="s">
        <v>13</v>
      </c>
      <c r="C115" s="57" t="s">
        <v>6</v>
      </c>
      <c r="D115" s="57" t="s">
        <v>45</v>
      </c>
      <c r="E115" s="210"/>
      <c r="F115" s="108"/>
      <c r="G115" s="108"/>
      <c r="H115" s="59"/>
      <c r="I115" s="59"/>
      <c r="J115" s="59"/>
      <c r="K115" s="59"/>
      <c r="L115" s="59"/>
      <c r="M115" s="59"/>
      <c r="N115" s="59"/>
      <c r="O115" s="59"/>
      <c r="P115" s="59"/>
      <c r="Q115" s="59">
        <f>SUM(Tablo2[[#This Row],[Ocak]:[Aralık]])</f>
        <v>0</v>
      </c>
    </row>
    <row r="116" spans="1:17" x14ac:dyDescent="0.3">
      <c r="A116" s="538"/>
      <c r="B116" s="56" t="s">
        <v>13</v>
      </c>
      <c r="C116" s="57" t="s">
        <v>6</v>
      </c>
      <c r="D116" s="57" t="s">
        <v>48</v>
      </c>
      <c r="E116" s="210"/>
      <c r="F116" s="108"/>
      <c r="G116" s="108"/>
      <c r="H116" s="59"/>
      <c r="I116" s="59"/>
      <c r="J116" s="59"/>
      <c r="K116" s="59"/>
      <c r="L116" s="59"/>
      <c r="M116" s="59"/>
      <c r="N116" s="59"/>
      <c r="O116" s="59"/>
      <c r="P116" s="59"/>
      <c r="Q116" s="59">
        <f>SUM(Tablo2[[#This Row],[Ocak]:[Aralık]])</f>
        <v>0</v>
      </c>
    </row>
    <row r="117" spans="1:17" x14ac:dyDescent="0.3">
      <c r="A117" s="538"/>
      <c r="B117" s="56" t="s">
        <v>13</v>
      </c>
      <c r="C117" s="57" t="s">
        <v>6</v>
      </c>
      <c r="D117" s="57" t="s">
        <v>50</v>
      </c>
      <c r="E117" s="210"/>
      <c r="F117" s="108"/>
      <c r="G117" s="108"/>
      <c r="H117" s="59"/>
      <c r="I117" s="59"/>
      <c r="J117" s="59"/>
      <c r="K117" s="59"/>
      <c r="L117" s="59"/>
      <c r="M117" s="59"/>
      <c r="N117" s="59"/>
      <c r="O117" s="59"/>
      <c r="P117" s="59"/>
      <c r="Q117" s="59">
        <f>SUM(Tablo2[[#This Row],[Ocak]:[Aralık]])</f>
        <v>0</v>
      </c>
    </row>
    <row r="118" spans="1:17" x14ac:dyDescent="0.3">
      <c r="A118" s="538">
        <v>2</v>
      </c>
      <c r="B118" s="56" t="s">
        <v>13</v>
      </c>
      <c r="C118" s="57" t="s">
        <v>10</v>
      </c>
      <c r="D118" s="57" t="s">
        <v>7</v>
      </c>
      <c r="E118" s="210"/>
      <c r="F118" s="108"/>
      <c r="G118" s="108"/>
      <c r="H118" s="59"/>
      <c r="I118" s="59"/>
      <c r="J118" s="59"/>
      <c r="K118" s="59"/>
      <c r="L118" s="59"/>
      <c r="M118" s="59"/>
      <c r="N118" s="59"/>
      <c r="O118" s="59"/>
      <c r="P118" s="59"/>
      <c r="Q118" s="59">
        <f>SUM(Tablo2[[#This Row],[Ocak]:[Aralık]])</f>
        <v>0</v>
      </c>
    </row>
    <row r="119" spans="1:17" x14ac:dyDescent="0.3">
      <c r="A119" s="538"/>
      <c r="B119" s="56" t="s">
        <v>13</v>
      </c>
      <c r="C119" s="57" t="s">
        <v>10</v>
      </c>
      <c r="D119" s="57" t="s">
        <v>11</v>
      </c>
      <c r="E119" s="210"/>
      <c r="F119" s="108"/>
      <c r="G119" s="108"/>
      <c r="H119" s="59"/>
      <c r="I119" s="59"/>
      <c r="J119" s="59"/>
      <c r="K119" s="59"/>
      <c r="L119" s="59"/>
      <c r="M119" s="59"/>
      <c r="N119" s="59"/>
      <c r="O119" s="59"/>
      <c r="P119" s="59"/>
      <c r="Q119" s="59">
        <f>SUM(Tablo2[[#This Row],[Ocak]:[Aralık]])</f>
        <v>0</v>
      </c>
    </row>
    <row r="120" spans="1:17" x14ac:dyDescent="0.3">
      <c r="A120" s="538"/>
      <c r="B120" s="56" t="s">
        <v>13</v>
      </c>
      <c r="C120" s="57" t="s">
        <v>10</v>
      </c>
      <c r="D120" s="57" t="s">
        <v>15</v>
      </c>
      <c r="E120" s="210"/>
      <c r="F120" s="108"/>
      <c r="G120" s="108">
        <v>800</v>
      </c>
      <c r="H120" s="59"/>
      <c r="I120" s="59"/>
      <c r="J120" s="59"/>
      <c r="K120" s="59"/>
      <c r="L120" s="59"/>
      <c r="M120" s="59"/>
      <c r="N120" s="59"/>
      <c r="O120" s="59"/>
      <c r="P120" s="59"/>
      <c r="Q120" s="59">
        <f>SUM(Tablo2[[#This Row],[Ocak]:[Aralık]])</f>
        <v>800</v>
      </c>
    </row>
    <row r="121" spans="1:17" x14ac:dyDescent="0.3">
      <c r="A121" s="538"/>
      <c r="B121" s="56" t="s">
        <v>13</v>
      </c>
      <c r="C121" s="57" t="s">
        <v>10</v>
      </c>
      <c r="D121" s="57" t="s">
        <v>19</v>
      </c>
      <c r="E121" s="210"/>
      <c r="F121" s="108"/>
      <c r="G121" s="108"/>
      <c r="H121" s="59"/>
      <c r="I121" s="59"/>
      <c r="J121" s="59"/>
      <c r="K121" s="59"/>
      <c r="L121" s="59"/>
      <c r="M121" s="59"/>
      <c r="N121" s="59"/>
      <c r="O121" s="59"/>
      <c r="P121" s="59"/>
      <c r="Q121" s="59">
        <f>SUM(Tablo2[[#This Row],[Ocak]:[Aralık]])</f>
        <v>0</v>
      </c>
    </row>
    <row r="122" spans="1:17" x14ac:dyDescent="0.3">
      <c r="A122" s="538"/>
      <c r="B122" s="56" t="s">
        <v>13</v>
      </c>
      <c r="C122" s="57" t="s">
        <v>10</v>
      </c>
      <c r="D122" s="57" t="s">
        <v>22</v>
      </c>
      <c r="E122" s="210"/>
      <c r="F122" s="108"/>
      <c r="G122" s="108"/>
      <c r="H122" s="59"/>
      <c r="I122" s="59"/>
      <c r="J122" s="59"/>
      <c r="K122" s="59"/>
      <c r="L122" s="59"/>
      <c r="M122" s="59"/>
      <c r="N122" s="59"/>
      <c r="O122" s="59"/>
      <c r="P122" s="59"/>
      <c r="Q122" s="59">
        <f>SUM(Tablo2[[#This Row],[Ocak]:[Aralık]])</f>
        <v>0</v>
      </c>
    </row>
    <row r="123" spans="1:17" x14ac:dyDescent="0.3">
      <c r="A123" s="538"/>
      <c r="B123" s="56" t="s">
        <v>13</v>
      </c>
      <c r="C123" s="57" t="s">
        <v>10</v>
      </c>
      <c r="D123" s="57" t="s">
        <v>25</v>
      </c>
      <c r="E123" s="210"/>
      <c r="F123" s="108"/>
      <c r="G123" s="108"/>
      <c r="H123" s="59"/>
      <c r="I123" s="59"/>
      <c r="J123" s="59"/>
      <c r="K123" s="59"/>
      <c r="L123" s="59"/>
      <c r="M123" s="59"/>
      <c r="N123" s="59"/>
      <c r="O123" s="59"/>
      <c r="P123" s="59"/>
      <c r="Q123" s="59">
        <f>SUM(Tablo2[[#This Row],[Ocak]:[Aralık]])</f>
        <v>0</v>
      </c>
    </row>
    <row r="124" spans="1:17" x14ac:dyDescent="0.3">
      <c r="A124" s="538"/>
      <c r="B124" s="56" t="s">
        <v>13</v>
      </c>
      <c r="C124" s="57" t="s">
        <v>10</v>
      </c>
      <c r="D124" s="57" t="s">
        <v>28</v>
      </c>
      <c r="E124" s="210"/>
      <c r="F124" s="108"/>
      <c r="G124" s="108"/>
      <c r="H124" s="59"/>
      <c r="I124" s="59"/>
      <c r="J124" s="59"/>
      <c r="K124" s="59"/>
      <c r="L124" s="59"/>
      <c r="M124" s="59"/>
      <c r="N124" s="59"/>
      <c r="O124" s="59"/>
      <c r="P124" s="59"/>
      <c r="Q124" s="59">
        <f>SUM(Tablo2[[#This Row],[Ocak]:[Aralık]])</f>
        <v>0</v>
      </c>
    </row>
    <row r="125" spans="1:17" x14ac:dyDescent="0.3">
      <c r="A125" s="538"/>
      <c r="B125" s="56" t="s">
        <v>13</v>
      </c>
      <c r="C125" s="57" t="s">
        <v>10</v>
      </c>
      <c r="D125" s="57" t="s">
        <v>31</v>
      </c>
      <c r="E125" s="210"/>
      <c r="F125" s="108"/>
      <c r="G125" s="108"/>
      <c r="H125" s="59"/>
      <c r="I125" s="59"/>
      <c r="J125" s="59"/>
      <c r="K125" s="59"/>
      <c r="L125" s="59"/>
      <c r="M125" s="59"/>
      <c r="N125" s="59"/>
      <c r="O125" s="59"/>
      <c r="P125" s="59"/>
      <c r="Q125" s="59">
        <f>SUM(Tablo2[[#This Row],[Ocak]:[Aralık]])</f>
        <v>0</v>
      </c>
    </row>
    <row r="126" spans="1:17" x14ac:dyDescent="0.3">
      <c r="A126" s="538"/>
      <c r="B126" s="56" t="s">
        <v>13</v>
      </c>
      <c r="C126" s="57" t="s">
        <v>10</v>
      </c>
      <c r="D126" s="57" t="s">
        <v>34</v>
      </c>
      <c r="E126" s="210"/>
      <c r="F126" s="108"/>
      <c r="G126" s="108"/>
      <c r="H126" s="59"/>
      <c r="I126" s="59"/>
      <c r="J126" s="59"/>
      <c r="K126" s="59"/>
      <c r="L126" s="59"/>
      <c r="M126" s="59"/>
      <c r="N126" s="59"/>
      <c r="O126" s="59"/>
      <c r="P126" s="59"/>
      <c r="Q126" s="59">
        <f>SUM(Tablo2[[#This Row],[Ocak]:[Aralık]])</f>
        <v>0</v>
      </c>
    </row>
    <row r="127" spans="1:17" x14ac:dyDescent="0.3">
      <c r="A127" s="538"/>
      <c r="B127" s="56" t="s">
        <v>13</v>
      </c>
      <c r="C127" s="57" t="s">
        <v>10</v>
      </c>
      <c r="D127" s="57" t="s">
        <v>37</v>
      </c>
      <c r="E127" s="210"/>
      <c r="F127" s="108"/>
      <c r="G127" s="108"/>
      <c r="H127" s="59"/>
      <c r="I127" s="59"/>
      <c r="J127" s="59"/>
      <c r="K127" s="59"/>
      <c r="L127" s="59">
        <v>2420</v>
      </c>
      <c r="M127" s="59"/>
      <c r="N127" s="59"/>
      <c r="O127" s="59"/>
      <c r="P127" s="59"/>
      <c r="Q127" s="59">
        <f>SUM(Tablo2[[#This Row],[Ocak]:[Aralık]])</f>
        <v>2420</v>
      </c>
    </row>
    <row r="128" spans="1:17" x14ac:dyDescent="0.3">
      <c r="A128" s="538"/>
      <c r="B128" s="56" t="s">
        <v>13</v>
      </c>
      <c r="C128" s="57" t="s">
        <v>10</v>
      </c>
      <c r="D128" s="57" t="s">
        <v>39</v>
      </c>
      <c r="E128" s="210"/>
      <c r="F128" s="108"/>
      <c r="G128" s="108"/>
      <c r="H128" s="59"/>
      <c r="I128" s="59"/>
      <c r="J128" s="59"/>
      <c r="K128" s="59"/>
      <c r="L128" s="59"/>
      <c r="M128" s="59"/>
      <c r="N128" s="59"/>
      <c r="O128" s="59"/>
      <c r="P128" s="59"/>
      <c r="Q128" s="59">
        <f>SUM(Tablo2[[#This Row],[Ocak]:[Aralık]])</f>
        <v>0</v>
      </c>
    </row>
    <row r="129" spans="1:23" x14ac:dyDescent="0.3">
      <c r="A129" s="538"/>
      <c r="B129" s="56" t="s">
        <v>13</v>
      </c>
      <c r="C129" s="57" t="s">
        <v>10</v>
      </c>
      <c r="D129" s="57" t="s">
        <v>42</v>
      </c>
      <c r="E129" s="210"/>
      <c r="F129" s="108"/>
      <c r="G129" s="108"/>
      <c r="H129" s="59"/>
      <c r="I129" s="59"/>
      <c r="J129" s="59"/>
      <c r="K129" s="59"/>
      <c r="L129" s="59"/>
      <c r="M129" s="59"/>
      <c r="N129" s="59"/>
      <c r="O129" s="59"/>
      <c r="P129" s="59"/>
      <c r="Q129" s="59">
        <f>SUM(Tablo2[[#This Row],[Ocak]:[Aralık]])</f>
        <v>0</v>
      </c>
    </row>
    <row r="130" spans="1:23" x14ac:dyDescent="0.3">
      <c r="A130" s="538"/>
      <c r="B130" s="56" t="s">
        <v>13</v>
      </c>
      <c r="C130" s="57" t="s">
        <v>10</v>
      </c>
      <c r="D130" s="57" t="s">
        <v>45</v>
      </c>
      <c r="E130" s="210"/>
      <c r="F130" s="108"/>
      <c r="G130" s="108"/>
      <c r="H130" s="59"/>
      <c r="I130" s="59"/>
      <c r="J130" s="59"/>
      <c r="K130" s="59"/>
      <c r="L130" s="59"/>
      <c r="M130" s="59"/>
      <c r="N130" s="59"/>
      <c r="O130" s="59"/>
      <c r="P130" s="59"/>
      <c r="Q130" s="59">
        <f>SUM(Tablo2[[#This Row],[Ocak]:[Aralık]])</f>
        <v>0</v>
      </c>
    </row>
    <row r="131" spans="1:23" x14ac:dyDescent="0.25">
      <c r="A131" s="538"/>
      <c r="B131" s="56" t="s">
        <v>13</v>
      </c>
      <c r="C131" s="57" t="s">
        <v>10</v>
      </c>
      <c r="D131" s="57" t="s">
        <v>48</v>
      </c>
      <c r="E131" s="210"/>
      <c r="F131" s="108"/>
      <c r="G131" s="108"/>
      <c r="H131" s="59"/>
      <c r="I131" s="59"/>
      <c r="J131" s="59"/>
      <c r="K131" s="59"/>
      <c r="L131" s="59"/>
      <c r="M131" s="59"/>
      <c r="N131" s="59"/>
      <c r="O131" s="59"/>
      <c r="P131" s="59"/>
      <c r="Q131" s="59">
        <f>SUM(Tablo2[[#This Row],[Ocak]:[Aralık]])</f>
        <v>0</v>
      </c>
      <c r="U131" s="370"/>
      <c r="V131" s="419"/>
    </row>
    <row r="132" spans="1:23" x14ac:dyDescent="0.25">
      <c r="A132" s="538"/>
      <c r="B132" s="56" t="s">
        <v>13</v>
      </c>
      <c r="C132" s="57" t="s">
        <v>10</v>
      </c>
      <c r="D132" s="57" t="s">
        <v>50</v>
      </c>
      <c r="E132" s="210"/>
      <c r="F132" s="108"/>
      <c r="G132" s="108"/>
      <c r="H132" s="59"/>
      <c r="I132" s="59"/>
      <c r="J132" s="59"/>
      <c r="K132" s="59"/>
      <c r="L132" s="59"/>
      <c r="M132" s="59"/>
      <c r="N132" s="59"/>
      <c r="O132" s="59"/>
      <c r="P132" s="59"/>
      <c r="Q132" s="59">
        <f>SUM(Tablo2[[#This Row],[Ocak]:[Aralık]])</f>
        <v>0</v>
      </c>
      <c r="U132" s="370"/>
      <c r="V132" s="419"/>
    </row>
    <row r="133" spans="1:23" x14ac:dyDescent="0.25">
      <c r="A133" s="54">
        <v>5</v>
      </c>
      <c r="B133" s="56" t="s">
        <v>13</v>
      </c>
      <c r="C133" s="57" t="s">
        <v>14</v>
      </c>
      <c r="D133" s="57"/>
      <c r="E133" s="210">
        <v>1430</v>
      </c>
      <c r="F133" s="108">
        <v>300</v>
      </c>
      <c r="G133" s="108">
        <v>1100</v>
      </c>
      <c r="H133" s="59"/>
      <c r="I133" s="59"/>
      <c r="J133" s="59"/>
      <c r="K133" s="59">
        <v>3945</v>
      </c>
      <c r="L133" s="59">
        <v>2120</v>
      </c>
      <c r="M133" s="59"/>
      <c r="N133" s="59"/>
      <c r="O133" s="59"/>
      <c r="P133" s="59"/>
      <c r="Q133" s="59">
        <f>SUM(Tablo2[[#This Row],[Ocak]:[Aralık]])</f>
        <v>8895</v>
      </c>
      <c r="U133" s="474"/>
      <c r="V133" s="475"/>
      <c r="W133" s="464"/>
    </row>
    <row r="134" spans="1:23" x14ac:dyDescent="0.25">
      <c r="A134" s="54">
        <v>6</v>
      </c>
      <c r="B134" s="56" t="s">
        <v>13</v>
      </c>
      <c r="C134" s="57" t="s">
        <v>18</v>
      </c>
      <c r="D134" s="57"/>
      <c r="E134" s="210"/>
      <c r="F134" s="108"/>
      <c r="G134" s="108">
        <v>350</v>
      </c>
      <c r="H134" s="59"/>
      <c r="I134" s="59"/>
      <c r="J134" s="59"/>
      <c r="K134" s="59"/>
      <c r="L134" s="59"/>
      <c r="M134" s="59"/>
      <c r="N134" s="59"/>
      <c r="O134" s="59"/>
      <c r="P134" s="59"/>
      <c r="Q134" s="59">
        <f>SUM(Tablo2[[#This Row],[Ocak]:[Aralık]])</f>
        <v>350</v>
      </c>
      <c r="U134" s="474"/>
      <c r="V134" s="475"/>
      <c r="W134" s="464"/>
    </row>
    <row r="135" spans="1:23" x14ac:dyDescent="0.25">
      <c r="A135" s="54">
        <v>7</v>
      </c>
      <c r="B135" s="56" t="s">
        <v>13</v>
      </c>
      <c r="C135" s="57" t="s">
        <v>21</v>
      </c>
      <c r="D135" s="57"/>
      <c r="E135" s="210"/>
      <c r="F135" s="108"/>
      <c r="G135" s="108"/>
      <c r="H135" s="59"/>
      <c r="I135" s="59"/>
      <c r="J135" s="59"/>
      <c r="K135" s="59"/>
      <c r="L135" s="59"/>
      <c r="M135" s="59"/>
      <c r="N135" s="59"/>
      <c r="O135" s="59"/>
      <c r="P135" s="59"/>
      <c r="Q135" s="59">
        <f>SUM(Tablo2[[#This Row],[Ocak]:[Aralık]])</f>
        <v>0</v>
      </c>
      <c r="U135" s="474"/>
      <c r="V135" s="475"/>
      <c r="W135" s="464"/>
    </row>
    <row r="136" spans="1:23" x14ac:dyDescent="0.25">
      <c r="A136" s="54">
        <v>8</v>
      </c>
      <c r="B136" s="56" t="s">
        <v>13</v>
      </c>
      <c r="C136" s="57" t="s">
        <v>24</v>
      </c>
      <c r="D136" s="57"/>
      <c r="E136" s="210">
        <v>3170</v>
      </c>
      <c r="F136" s="108">
        <v>500</v>
      </c>
      <c r="G136" s="108">
        <v>2000</v>
      </c>
      <c r="H136" s="59"/>
      <c r="I136" s="59"/>
      <c r="J136" s="59"/>
      <c r="K136" s="59">
        <v>4410</v>
      </c>
      <c r="L136" s="59">
        <v>4100</v>
      </c>
      <c r="M136" s="59">
        <v>130</v>
      </c>
      <c r="N136" s="59"/>
      <c r="O136" s="59"/>
      <c r="P136" s="59"/>
      <c r="Q136" s="59">
        <f>SUM(Tablo2[[#This Row],[Ocak]:[Aralık]])</f>
        <v>14310</v>
      </c>
      <c r="U136" s="474"/>
      <c r="V136" s="474"/>
      <c r="W136" s="477"/>
    </row>
    <row r="137" spans="1:23" x14ac:dyDescent="0.25">
      <c r="A137" s="54">
        <v>9</v>
      </c>
      <c r="B137" s="56" t="s">
        <v>13</v>
      </c>
      <c r="C137" s="57" t="s">
        <v>27</v>
      </c>
      <c r="D137" s="57"/>
      <c r="E137" s="210">
        <v>2740</v>
      </c>
      <c r="F137" s="108">
        <v>750</v>
      </c>
      <c r="G137" s="108">
        <v>1500</v>
      </c>
      <c r="H137" s="59"/>
      <c r="I137" s="59"/>
      <c r="J137" s="59"/>
      <c r="K137" s="59">
        <v>3250</v>
      </c>
      <c r="L137" s="59">
        <v>2340</v>
      </c>
      <c r="M137" s="59"/>
      <c r="N137" s="59"/>
      <c r="O137" s="59"/>
      <c r="P137" s="59"/>
      <c r="Q137" s="59">
        <f>SUM(Tablo2[[#This Row],[Ocak]:[Aralık]])</f>
        <v>10580</v>
      </c>
      <c r="U137" s="474"/>
      <c r="V137" s="475"/>
      <c r="W137" s="464"/>
    </row>
    <row r="138" spans="1:23" x14ac:dyDescent="0.25">
      <c r="A138" s="54">
        <v>10</v>
      </c>
      <c r="B138" s="56" t="s">
        <v>13</v>
      </c>
      <c r="C138" s="57" t="s">
        <v>30</v>
      </c>
      <c r="D138" s="57"/>
      <c r="E138" s="210"/>
      <c r="F138" s="108">
        <v>900</v>
      </c>
      <c r="G138" s="108"/>
      <c r="H138" s="59"/>
      <c r="I138" s="59"/>
      <c r="J138" s="59"/>
      <c r="K138" s="59">
        <v>5230</v>
      </c>
      <c r="L138" s="59"/>
      <c r="M138" s="59"/>
      <c r="N138" s="59"/>
      <c r="O138" s="59"/>
      <c r="P138" s="59"/>
      <c r="Q138" s="59">
        <f>SUM(Tablo2[[#This Row],[Ocak]:[Aralık]])</f>
        <v>6130</v>
      </c>
      <c r="U138" s="474"/>
      <c r="V138" s="475"/>
      <c r="W138" s="464"/>
    </row>
    <row r="139" spans="1:23" ht="12.75" customHeight="1" x14ac:dyDescent="0.25">
      <c r="A139" s="54">
        <v>11</v>
      </c>
      <c r="B139" s="56" t="s">
        <v>13</v>
      </c>
      <c r="C139" s="57" t="s">
        <v>33</v>
      </c>
      <c r="D139" s="57"/>
      <c r="E139" s="210"/>
      <c r="F139" s="108">
        <v>300</v>
      </c>
      <c r="G139" s="108">
        <v>150</v>
      </c>
      <c r="H139" s="59"/>
      <c r="I139" s="59"/>
      <c r="J139" s="59"/>
      <c r="K139" s="59">
        <v>1310</v>
      </c>
      <c r="L139" s="59"/>
      <c r="M139" s="59"/>
      <c r="N139" s="59"/>
      <c r="O139" s="59"/>
      <c r="P139" s="59"/>
      <c r="Q139" s="59">
        <f>SUM(Tablo2[[#This Row],[Ocak]:[Aralık]])</f>
        <v>1760</v>
      </c>
      <c r="U139" s="474"/>
      <c r="V139" s="475"/>
      <c r="W139" s="464"/>
    </row>
    <row r="140" spans="1:23" x14ac:dyDescent="0.25">
      <c r="A140" s="54">
        <v>12</v>
      </c>
      <c r="B140" s="56" t="s">
        <v>13</v>
      </c>
      <c r="C140" s="57" t="s">
        <v>36</v>
      </c>
      <c r="D140" s="57"/>
      <c r="E140" s="210"/>
      <c r="F140" s="108"/>
      <c r="G140" s="108"/>
      <c r="H140" s="59"/>
      <c r="I140" s="59"/>
      <c r="J140" s="59"/>
      <c r="K140" s="59"/>
      <c r="L140" s="59"/>
      <c r="M140" s="59"/>
      <c r="N140" s="59"/>
      <c r="O140" s="59"/>
      <c r="P140" s="59"/>
      <c r="Q140" s="59">
        <f>SUM(Tablo2[[#This Row],[Ocak]:[Aralık]])</f>
        <v>0</v>
      </c>
      <c r="U140" s="474"/>
      <c r="V140" s="475"/>
      <c r="W140" s="464"/>
    </row>
    <row r="141" spans="1:23" x14ac:dyDescent="0.25">
      <c r="A141" s="54">
        <v>13</v>
      </c>
      <c r="B141" s="56" t="s">
        <v>13</v>
      </c>
      <c r="C141" s="57" t="s">
        <v>38</v>
      </c>
      <c r="D141" s="57"/>
      <c r="E141" s="210">
        <v>2050</v>
      </c>
      <c r="F141" s="108"/>
      <c r="G141" s="108">
        <v>7500</v>
      </c>
      <c r="H141" s="59"/>
      <c r="I141" s="59"/>
      <c r="J141" s="59"/>
      <c r="K141" s="59">
        <v>2440</v>
      </c>
      <c r="L141" s="59"/>
      <c r="M141" s="59"/>
      <c r="N141" s="59"/>
      <c r="O141" s="59"/>
      <c r="P141" s="59"/>
      <c r="Q141" s="59">
        <f>SUM(Tablo2[[#This Row],[Ocak]:[Aralık]])</f>
        <v>11990</v>
      </c>
      <c r="U141" s="474"/>
      <c r="V141" s="474"/>
      <c r="W141" s="477"/>
    </row>
    <row r="142" spans="1:23" x14ac:dyDescent="0.25">
      <c r="A142" s="54">
        <v>14</v>
      </c>
      <c r="B142" s="56" t="s">
        <v>13</v>
      </c>
      <c r="C142" s="57" t="s">
        <v>41</v>
      </c>
      <c r="D142" s="57"/>
      <c r="E142" s="210"/>
      <c r="F142" s="108"/>
      <c r="G142" s="108"/>
      <c r="H142" s="59"/>
      <c r="I142" s="59"/>
      <c r="J142" s="59"/>
      <c r="K142" s="59"/>
      <c r="L142" s="59"/>
      <c r="M142" s="59"/>
      <c r="N142" s="59"/>
      <c r="O142" s="59"/>
      <c r="P142" s="59"/>
      <c r="Q142" s="59">
        <f>SUM(Tablo2[[#This Row],[Ocak]:[Aralık]])</f>
        <v>0</v>
      </c>
      <c r="U142" s="474"/>
      <c r="V142" s="475"/>
      <c r="W142" s="464"/>
    </row>
    <row r="143" spans="1:23" ht="15" customHeight="1" x14ac:dyDescent="0.25">
      <c r="A143" s="54">
        <v>15</v>
      </c>
      <c r="B143" s="56" t="s">
        <v>13</v>
      </c>
      <c r="C143" s="57" t="s">
        <v>44</v>
      </c>
      <c r="D143" s="57"/>
      <c r="E143" s="210"/>
      <c r="F143" s="108"/>
      <c r="G143" s="108"/>
      <c r="H143" s="59"/>
      <c r="I143" s="59"/>
      <c r="J143" s="59"/>
      <c r="K143" s="59"/>
      <c r="L143" s="59"/>
      <c r="M143" s="59"/>
      <c r="N143" s="59"/>
      <c r="O143" s="59"/>
      <c r="P143" s="59"/>
      <c r="Q143" s="59">
        <f>SUM(Tablo2[[#This Row],[Ocak]:[Aralık]])</f>
        <v>0</v>
      </c>
      <c r="U143" s="474"/>
      <c r="V143" s="475"/>
      <c r="W143" s="464"/>
    </row>
    <row r="144" spans="1:23" x14ac:dyDescent="0.25">
      <c r="A144" s="54">
        <v>16</v>
      </c>
      <c r="B144" s="56" t="s">
        <v>13</v>
      </c>
      <c r="C144" s="57" t="s">
        <v>47</v>
      </c>
      <c r="D144" s="57"/>
      <c r="E144" s="210">
        <v>440</v>
      </c>
      <c r="F144" s="108">
        <v>100</v>
      </c>
      <c r="G144" s="108">
        <v>90</v>
      </c>
      <c r="H144" s="59"/>
      <c r="I144" s="59"/>
      <c r="J144" s="59"/>
      <c r="K144" s="59">
        <v>775</v>
      </c>
      <c r="L144" s="59">
        <v>1270</v>
      </c>
      <c r="M144" s="59">
        <v>110</v>
      </c>
      <c r="N144" s="59"/>
      <c r="O144" s="59"/>
      <c r="P144" s="59"/>
      <c r="Q144" s="59">
        <f>SUM(Tablo2[[#This Row],[Ocak]:[Aralık]])</f>
        <v>2785</v>
      </c>
      <c r="U144" s="474"/>
      <c r="V144" s="474"/>
      <c r="W144" s="477"/>
    </row>
    <row r="145" spans="1:23" x14ac:dyDescent="0.25">
      <c r="A145" s="54">
        <v>17</v>
      </c>
      <c r="B145" s="56" t="s">
        <v>13</v>
      </c>
      <c r="C145" s="57" t="s">
        <v>49</v>
      </c>
      <c r="D145" s="57"/>
      <c r="E145" s="210">
        <v>260</v>
      </c>
      <c r="F145" s="108"/>
      <c r="G145" s="108"/>
      <c r="H145" s="59"/>
      <c r="I145" s="59"/>
      <c r="J145" s="59"/>
      <c r="K145" s="59"/>
      <c r="L145" s="59"/>
      <c r="M145" s="59"/>
      <c r="N145" s="59"/>
      <c r="O145" s="59"/>
      <c r="P145" s="59"/>
      <c r="Q145" s="59">
        <f>SUM(Tablo2[[#This Row],[Ocak]:[Aralık]])</f>
        <v>260</v>
      </c>
      <c r="U145" s="474"/>
      <c r="V145" s="475"/>
      <c r="W145" s="464"/>
    </row>
    <row r="146" spans="1:23" x14ac:dyDescent="0.25">
      <c r="A146" s="54">
        <v>18</v>
      </c>
      <c r="B146" s="56" t="s">
        <v>13</v>
      </c>
      <c r="C146" s="57" t="s">
        <v>51</v>
      </c>
      <c r="D146" s="57"/>
      <c r="E146" s="210"/>
      <c r="F146" s="108"/>
      <c r="G146" s="108"/>
      <c r="H146" s="59"/>
      <c r="I146" s="59"/>
      <c r="J146" s="59"/>
      <c r="K146" s="59"/>
      <c r="L146" s="59"/>
      <c r="M146" s="59"/>
      <c r="N146" s="59"/>
      <c r="O146" s="59"/>
      <c r="P146" s="59"/>
      <c r="Q146" s="59">
        <f>SUM(Tablo2[[#This Row],[Ocak]:[Aralık]])</f>
        <v>0</v>
      </c>
      <c r="U146" s="474"/>
      <c r="V146" s="475"/>
      <c r="W146" s="464"/>
    </row>
    <row r="147" spans="1:23" x14ac:dyDescent="0.25">
      <c r="A147" s="54">
        <v>19</v>
      </c>
      <c r="B147" s="56" t="s">
        <v>13</v>
      </c>
      <c r="C147" s="57" t="s">
        <v>52</v>
      </c>
      <c r="D147" s="57"/>
      <c r="E147" s="210"/>
      <c r="F147" s="108"/>
      <c r="G147" s="108"/>
      <c r="H147" s="59"/>
      <c r="I147" s="59"/>
      <c r="J147" s="59"/>
      <c r="K147" s="59"/>
      <c r="L147" s="59"/>
      <c r="M147" s="59"/>
      <c r="N147" s="59"/>
      <c r="O147" s="59"/>
      <c r="P147" s="59"/>
      <c r="Q147" s="59">
        <f>SUM(Tablo2[[#This Row],[Ocak]:[Aralık]])</f>
        <v>0</v>
      </c>
      <c r="U147" s="474"/>
      <c r="V147" s="475"/>
      <c r="W147" s="464"/>
    </row>
    <row r="148" spans="1:23" x14ac:dyDescent="0.25">
      <c r="A148" s="54">
        <v>20</v>
      </c>
      <c r="B148" s="56" t="s">
        <v>13</v>
      </c>
      <c r="C148" s="57" t="s">
        <v>53</v>
      </c>
      <c r="D148" s="57"/>
      <c r="E148" s="210"/>
      <c r="F148" s="108"/>
      <c r="G148" s="108"/>
      <c r="H148" s="59"/>
      <c r="I148" s="59"/>
      <c r="J148" s="59"/>
      <c r="K148" s="59"/>
      <c r="L148" s="59"/>
      <c r="M148" s="59"/>
      <c r="N148" s="59"/>
      <c r="O148" s="59"/>
      <c r="P148" s="59"/>
      <c r="Q148" s="59">
        <f>SUM(Tablo2[[#This Row],[Ocak]:[Aralık]])</f>
        <v>0</v>
      </c>
      <c r="U148" s="474"/>
      <c r="V148" s="475"/>
      <c r="W148" s="464"/>
    </row>
    <row r="149" spans="1:23" x14ac:dyDescent="0.25">
      <c r="A149" s="54">
        <v>21</v>
      </c>
      <c r="B149" s="56" t="s">
        <v>13</v>
      </c>
      <c r="C149" s="57" t="s">
        <v>54</v>
      </c>
      <c r="D149" s="57"/>
      <c r="E149" s="210">
        <v>108</v>
      </c>
      <c r="F149" s="108"/>
      <c r="G149" s="108"/>
      <c r="H149" s="59"/>
      <c r="I149" s="59"/>
      <c r="J149" s="59"/>
      <c r="K149" s="59"/>
      <c r="L149" s="59"/>
      <c r="M149" s="59"/>
      <c r="N149" s="59"/>
      <c r="O149" s="59"/>
      <c r="P149" s="59"/>
      <c r="Q149" s="59">
        <f>SUM(Tablo2[[#This Row],[Ocak]:[Aralık]])</f>
        <v>108</v>
      </c>
      <c r="U149" s="474"/>
      <c r="V149" s="475"/>
      <c r="W149" s="464"/>
    </row>
    <row r="150" spans="1:23" x14ac:dyDescent="0.25">
      <c r="A150" s="54">
        <v>22</v>
      </c>
      <c r="B150" s="56" t="s">
        <v>13</v>
      </c>
      <c r="C150" s="57" t="s">
        <v>55</v>
      </c>
      <c r="D150" s="57"/>
      <c r="E150" s="210"/>
      <c r="F150" s="108"/>
      <c r="G150" s="108"/>
      <c r="H150" s="59"/>
      <c r="I150" s="59"/>
      <c r="J150" s="59"/>
      <c r="K150" s="59"/>
      <c r="L150" s="59"/>
      <c r="M150" s="59"/>
      <c r="N150" s="59"/>
      <c r="O150" s="59"/>
      <c r="P150" s="59"/>
      <c r="Q150" s="59">
        <f>SUM(Tablo2[[#This Row],[Ocak]:[Aralık]])</f>
        <v>0</v>
      </c>
      <c r="U150" s="474"/>
      <c r="V150" s="475"/>
      <c r="W150" s="464"/>
    </row>
    <row r="151" spans="1:23" x14ac:dyDescent="0.25">
      <c r="A151" s="54">
        <v>23</v>
      </c>
      <c r="B151" s="56" t="s">
        <v>13</v>
      </c>
      <c r="C151" s="57" t="s">
        <v>56</v>
      </c>
      <c r="D151" s="57"/>
      <c r="E151" s="210"/>
      <c r="F151" s="108"/>
      <c r="G151" s="108"/>
      <c r="H151" s="59"/>
      <c r="I151" s="59"/>
      <c r="J151" s="59"/>
      <c r="K151" s="59"/>
      <c r="L151" s="59"/>
      <c r="M151" s="59"/>
      <c r="N151" s="59"/>
      <c r="O151" s="59"/>
      <c r="P151" s="59"/>
      <c r="Q151" s="59">
        <f>SUM(Tablo2[[#This Row],[Ocak]:[Aralık]])</f>
        <v>0</v>
      </c>
      <c r="T151" s="478"/>
      <c r="U151" s="474"/>
      <c r="V151" s="475"/>
      <c r="W151" s="464"/>
    </row>
    <row r="152" spans="1:23" x14ac:dyDescent="0.25">
      <c r="A152" s="54">
        <v>24</v>
      </c>
      <c r="B152" s="56" t="s">
        <v>13</v>
      </c>
      <c r="C152" s="57" t="s">
        <v>57</v>
      </c>
      <c r="D152" s="57"/>
      <c r="E152" s="210"/>
      <c r="F152" s="108"/>
      <c r="G152" s="108"/>
      <c r="H152" s="59"/>
      <c r="I152" s="59"/>
      <c r="J152" s="59"/>
      <c r="K152" s="59"/>
      <c r="L152" s="59"/>
      <c r="M152" s="59"/>
      <c r="N152" s="59"/>
      <c r="O152" s="59"/>
      <c r="P152" s="59"/>
      <c r="Q152" s="59">
        <f>SUM(Tablo2[[#This Row],[Ocak]:[Aralık]])</f>
        <v>0</v>
      </c>
      <c r="T152" s="478"/>
      <c r="U152" s="474"/>
      <c r="V152" s="475"/>
      <c r="W152" s="464"/>
    </row>
    <row r="153" spans="1:23" x14ac:dyDescent="0.25">
      <c r="A153" s="538">
        <v>1</v>
      </c>
      <c r="B153" s="56" t="s">
        <v>9</v>
      </c>
      <c r="C153" s="57" t="s">
        <v>6</v>
      </c>
      <c r="D153" s="57" t="s">
        <v>7</v>
      </c>
      <c r="E153" s="210"/>
      <c r="F153" s="108"/>
      <c r="G153" s="108"/>
      <c r="H153" s="59"/>
      <c r="I153" s="59"/>
      <c r="J153" s="59"/>
      <c r="K153" s="59"/>
      <c r="L153" s="59"/>
      <c r="M153" s="59"/>
      <c r="N153" s="59"/>
      <c r="O153" s="59"/>
      <c r="P153" s="59"/>
      <c r="Q153" s="59">
        <f>SUM(Tablo2[[#This Row],[Ocak]:[Aralık]])</f>
        <v>0</v>
      </c>
      <c r="T153" s="478"/>
      <c r="U153" s="474"/>
      <c r="V153" s="474"/>
      <c r="W153" s="477"/>
    </row>
    <row r="154" spans="1:23" x14ac:dyDescent="0.25">
      <c r="A154" s="538"/>
      <c r="B154" s="56" t="s">
        <v>9</v>
      </c>
      <c r="C154" s="57" t="s">
        <v>6</v>
      </c>
      <c r="D154" s="57" t="s">
        <v>11</v>
      </c>
      <c r="E154" s="210"/>
      <c r="F154" s="108"/>
      <c r="G154" s="108"/>
      <c r="H154" s="59">
        <v>240</v>
      </c>
      <c r="I154" s="59"/>
      <c r="J154" s="59"/>
      <c r="K154" s="59"/>
      <c r="L154" s="59">
        <v>9730</v>
      </c>
      <c r="M154" s="59"/>
      <c r="N154" s="59"/>
      <c r="O154" s="59"/>
      <c r="P154" s="59"/>
      <c r="Q154" s="59">
        <f>SUM(Tablo2[[#This Row],[Ocak]:[Aralık]])</f>
        <v>9970</v>
      </c>
      <c r="T154" s="478"/>
      <c r="U154" s="474"/>
      <c r="V154" s="475"/>
      <c r="W154" s="464"/>
    </row>
    <row r="155" spans="1:23" x14ac:dyDescent="0.25">
      <c r="A155" s="538"/>
      <c r="B155" s="56" t="s">
        <v>9</v>
      </c>
      <c r="C155" s="57" t="s">
        <v>6</v>
      </c>
      <c r="D155" s="57" t="s">
        <v>15</v>
      </c>
      <c r="E155" s="210"/>
      <c r="F155" s="108"/>
      <c r="G155" s="108">
        <v>110</v>
      </c>
      <c r="H155" s="59"/>
      <c r="I155" s="59"/>
      <c r="J155" s="59"/>
      <c r="K155" s="59"/>
      <c r="L155" s="59"/>
      <c r="M155" s="59"/>
      <c r="N155" s="59"/>
      <c r="O155" s="59"/>
      <c r="P155" s="59"/>
      <c r="Q155" s="59">
        <f>SUM(Tablo2[[#This Row],[Ocak]:[Aralık]])</f>
        <v>110</v>
      </c>
      <c r="T155" s="478"/>
      <c r="U155" s="474"/>
      <c r="V155" s="475"/>
      <c r="W155" s="464"/>
    </row>
    <row r="156" spans="1:23" x14ac:dyDescent="0.25">
      <c r="A156" s="538"/>
      <c r="B156" s="56" t="s">
        <v>9</v>
      </c>
      <c r="C156" s="57" t="s">
        <v>6</v>
      </c>
      <c r="D156" s="57" t="s">
        <v>19</v>
      </c>
      <c r="E156" s="210"/>
      <c r="F156" s="108"/>
      <c r="G156" s="108"/>
      <c r="H156" s="59"/>
      <c r="I156" s="59"/>
      <c r="J156" s="59"/>
      <c r="K156" s="59"/>
      <c r="L156" s="59"/>
      <c r="M156" s="59"/>
      <c r="N156" s="59"/>
      <c r="O156" s="59"/>
      <c r="P156" s="59"/>
      <c r="Q156" s="59">
        <f>SUM(Tablo2[[#This Row],[Ocak]:[Aralık]])</f>
        <v>0</v>
      </c>
      <c r="T156" s="478"/>
      <c r="U156" s="474"/>
      <c r="V156" s="475"/>
      <c r="W156" s="464"/>
    </row>
    <row r="157" spans="1:23" x14ac:dyDescent="0.25">
      <c r="A157" s="538"/>
      <c r="B157" s="56" t="s">
        <v>9</v>
      </c>
      <c r="C157" s="57" t="s">
        <v>6</v>
      </c>
      <c r="D157" s="57" t="s">
        <v>22</v>
      </c>
      <c r="E157" s="210"/>
      <c r="F157" s="108"/>
      <c r="G157" s="108"/>
      <c r="H157" s="59"/>
      <c r="I157" s="59"/>
      <c r="J157" s="59"/>
      <c r="K157" s="59"/>
      <c r="L157" s="59"/>
      <c r="M157" s="59"/>
      <c r="N157" s="59"/>
      <c r="O157" s="59"/>
      <c r="P157" s="59"/>
      <c r="Q157" s="59">
        <f>SUM(Tablo2[[#This Row],[Ocak]:[Aralık]])</f>
        <v>0</v>
      </c>
      <c r="T157" s="478"/>
      <c r="U157" s="474"/>
      <c r="V157" s="475"/>
      <c r="W157" s="464"/>
    </row>
    <row r="158" spans="1:23" x14ac:dyDescent="0.25">
      <c r="A158" s="538"/>
      <c r="B158" s="56" t="s">
        <v>9</v>
      </c>
      <c r="C158" s="57" t="s">
        <v>6</v>
      </c>
      <c r="D158" s="57" t="s">
        <v>25</v>
      </c>
      <c r="E158" s="210"/>
      <c r="F158" s="108"/>
      <c r="G158" s="108"/>
      <c r="H158" s="59"/>
      <c r="I158" s="59"/>
      <c r="J158" s="59"/>
      <c r="K158" s="59"/>
      <c r="L158" s="59"/>
      <c r="M158" s="59"/>
      <c r="N158" s="59"/>
      <c r="O158" s="59"/>
      <c r="P158" s="59"/>
      <c r="Q158" s="59">
        <f>SUM(Tablo2[[#This Row],[Ocak]:[Aralık]])</f>
        <v>0</v>
      </c>
      <c r="T158" s="478"/>
      <c r="U158" s="474"/>
      <c r="V158" s="474"/>
      <c r="W158" s="477"/>
    </row>
    <row r="159" spans="1:23" x14ac:dyDescent="0.25">
      <c r="A159" s="538"/>
      <c r="B159" s="56" t="s">
        <v>9</v>
      </c>
      <c r="C159" s="57" t="s">
        <v>6</v>
      </c>
      <c r="D159" s="57" t="s">
        <v>28</v>
      </c>
      <c r="E159" s="210"/>
      <c r="F159" s="108"/>
      <c r="G159" s="108"/>
      <c r="H159" s="59"/>
      <c r="I159" s="59"/>
      <c r="J159" s="59"/>
      <c r="K159" s="59"/>
      <c r="L159" s="59"/>
      <c r="M159" s="59"/>
      <c r="N159" s="59"/>
      <c r="O159" s="59"/>
      <c r="P159" s="59"/>
      <c r="Q159" s="59">
        <f>SUM(Tablo2[[#This Row],[Ocak]:[Aralık]])</f>
        <v>0</v>
      </c>
      <c r="T159" s="478"/>
      <c r="U159" s="474"/>
      <c r="V159" s="475"/>
      <c r="W159" s="464"/>
    </row>
    <row r="160" spans="1:23" x14ac:dyDescent="0.25">
      <c r="A160" s="538"/>
      <c r="B160" s="56" t="s">
        <v>9</v>
      </c>
      <c r="C160" s="57" t="s">
        <v>6</v>
      </c>
      <c r="D160" s="57" t="s">
        <v>31</v>
      </c>
      <c r="E160" s="210"/>
      <c r="F160" s="108"/>
      <c r="G160" s="108"/>
      <c r="H160" s="59"/>
      <c r="I160" s="59"/>
      <c r="J160" s="59"/>
      <c r="K160" s="59"/>
      <c r="L160" s="59"/>
      <c r="M160" s="59"/>
      <c r="N160" s="59"/>
      <c r="O160" s="59"/>
      <c r="P160" s="59"/>
      <c r="Q160" s="59">
        <f>SUM(Tablo2[[#This Row],[Ocak]:[Aralık]])</f>
        <v>0</v>
      </c>
      <c r="T160" s="478"/>
      <c r="U160" s="474"/>
      <c r="V160" s="474"/>
      <c r="W160" s="477"/>
    </row>
    <row r="161" spans="1:23" x14ac:dyDescent="0.25">
      <c r="A161" s="538"/>
      <c r="B161" s="56" t="s">
        <v>9</v>
      </c>
      <c r="C161" s="57" t="s">
        <v>6</v>
      </c>
      <c r="D161" s="57" t="s">
        <v>34</v>
      </c>
      <c r="E161" s="210"/>
      <c r="F161" s="108"/>
      <c r="G161" s="108"/>
      <c r="H161" s="59"/>
      <c r="I161" s="59"/>
      <c r="J161" s="59"/>
      <c r="K161" s="59"/>
      <c r="L161" s="59"/>
      <c r="M161" s="59"/>
      <c r="N161" s="59"/>
      <c r="O161" s="59"/>
      <c r="P161" s="59"/>
      <c r="Q161" s="59">
        <f>SUM(Tablo2[[#This Row],[Ocak]:[Aralık]])</f>
        <v>0</v>
      </c>
      <c r="T161" s="478"/>
      <c r="U161" s="474"/>
      <c r="V161" s="475"/>
      <c r="W161" s="464"/>
    </row>
    <row r="162" spans="1:23" x14ac:dyDescent="0.25">
      <c r="A162" s="538"/>
      <c r="B162" s="56" t="s">
        <v>9</v>
      </c>
      <c r="C162" s="57" t="s">
        <v>6</v>
      </c>
      <c r="D162" s="57" t="s">
        <v>37</v>
      </c>
      <c r="E162" s="210">
        <v>260</v>
      </c>
      <c r="F162" s="108"/>
      <c r="G162" s="108"/>
      <c r="H162" s="59"/>
      <c r="I162" s="59"/>
      <c r="J162" s="59"/>
      <c r="K162" s="59"/>
      <c r="L162" s="59"/>
      <c r="M162" s="59"/>
      <c r="N162" s="59"/>
      <c r="O162" s="59"/>
      <c r="P162" s="59"/>
      <c r="Q162" s="59">
        <f>SUM(Tablo2[[#This Row],[Ocak]:[Aralık]])</f>
        <v>260</v>
      </c>
      <c r="T162" s="478"/>
      <c r="U162" s="474"/>
      <c r="V162" s="475"/>
      <c r="W162" s="464"/>
    </row>
    <row r="163" spans="1:23" x14ac:dyDescent="0.25">
      <c r="A163" s="538"/>
      <c r="B163" s="56" t="s">
        <v>9</v>
      </c>
      <c r="C163" s="57" t="s">
        <v>6</v>
      </c>
      <c r="D163" s="57" t="s">
        <v>39</v>
      </c>
      <c r="E163" s="210"/>
      <c r="F163" s="108"/>
      <c r="G163" s="108"/>
      <c r="H163" s="59"/>
      <c r="I163" s="59"/>
      <c r="J163" s="59"/>
      <c r="K163" s="59"/>
      <c r="L163" s="59"/>
      <c r="M163" s="59"/>
      <c r="N163" s="59"/>
      <c r="O163" s="59"/>
      <c r="P163" s="59"/>
      <c r="Q163" s="59">
        <f>SUM(Tablo2[[#This Row],[Ocak]:[Aralık]])</f>
        <v>0</v>
      </c>
      <c r="T163" s="478"/>
      <c r="U163" s="474"/>
      <c r="V163" s="475"/>
      <c r="W163" s="464"/>
    </row>
    <row r="164" spans="1:23" x14ac:dyDescent="0.25">
      <c r="A164" s="538"/>
      <c r="B164" s="56" t="s">
        <v>9</v>
      </c>
      <c r="C164" s="57" t="s">
        <v>6</v>
      </c>
      <c r="D164" s="57" t="s">
        <v>42</v>
      </c>
      <c r="E164" s="210"/>
      <c r="F164" s="108"/>
      <c r="G164" s="108"/>
      <c r="H164" s="59"/>
      <c r="I164" s="59"/>
      <c r="J164" s="59"/>
      <c r="K164" s="59"/>
      <c r="L164" s="59"/>
      <c r="M164" s="59"/>
      <c r="N164" s="59"/>
      <c r="O164" s="59"/>
      <c r="P164" s="59"/>
      <c r="Q164" s="59">
        <f>SUM(Tablo2[[#This Row],[Ocak]:[Aralık]])</f>
        <v>0</v>
      </c>
      <c r="T164" s="478"/>
      <c r="U164" s="474"/>
      <c r="V164" s="474"/>
      <c r="W164" s="477"/>
    </row>
    <row r="165" spans="1:23" x14ac:dyDescent="0.25">
      <c r="A165" s="538"/>
      <c r="B165" s="56" t="s">
        <v>9</v>
      </c>
      <c r="C165" s="57" t="s">
        <v>6</v>
      </c>
      <c r="D165" s="57" t="s">
        <v>45</v>
      </c>
      <c r="E165" s="210"/>
      <c r="F165" s="108"/>
      <c r="G165" s="108"/>
      <c r="H165" s="59"/>
      <c r="I165" s="59"/>
      <c r="J165" s="59"/>
      <c r="K165" s="59"/>
      <c r="L165" s="59"/>
      <c r="M165" s="59"/>
      <c r="N165" s="59"/>
      <c r="O165" s="59"/>
      <c r="P165" s="59"/>
      <c r="Q165" s="59">
        <f>SUM(Tablo2[[#This Row],[Ocak]:[Aralık]])</f>
        <v>0</v>
      </c>
      <c r="T165" s="478"/>
      <c r="U165" s="474"/>
      <c r="V165" s="475"/>
      <c r="W165" s="464"/>
    </row>
    <row r="166" spans="1:23" x14ac:dyDescent="0.25">
      <c r="A166" s="538"/>
      <c r="B166" s="56" t="s">
        <v>9</v>
      </c>
      <c r="C166" s="57" t="s">
        <v>6</v>
      </c>
      <c r="D166" s="57" t="s">
        <v>48</v>
      </c>
      <c r="E166" s="210"/>
      <c r="F166" s="108"/>
      <c r="G166" s="108"/>
      <c r="H166" s="59"/>
      <c r="I166" s="59"/>
      <c r="J166" s="59"/>
      <c r="K166" s="59"/>
      <c r="L166" s="59"/>
      <c r="M166" s="59"/>
      <c r="N166" s="59"/>
      <c r="O166" s="59"/>
      <c r="P166" s="59"/>
      <c r="Q166" s="59">
        <f>SUM(Tablo2[[#This Row],[Ocak]:[Aralık]])</f>
        <v>0</v>
      </c>
      <c r="T166" s="478"/>
      <c r="U166" s="474"/>
      <c r="V166" s="475"/>
      <c r="W166" s="464"/>
    </row>
    <row r="167" spans="1:23" x14ac:dyDescent="0.25">
      <c r="A167" s="538"/>
      <c r="B167" s="56" t="s">
        <v>9</v>
      </c>
      <c r="C167" s="57" t="s">
        <v>6</v>
      </c>
      <c r="D167" s="57" t="s">
        <v>50</v>
      </c>
      <c r="E167" s="210"/>
      <c r="F167" s="108"/>
      <c r="G167" s="108"/>
      <c r="H167" s="59"/>
      <c r="I167" s="59"/>
      <c r="J167" s="59"/>
      <c r="K167" s="59"/>
      <c r="L167" s="59"/>
      <c r="M167" s="59"/>
      <c r="N167" s="59"/>
      <c r="O167" s="59"/>
      <c r="P167" s="59"/>
      <c r="Q167" s="59">
        <f>SUM(Tablo2[[#This Row],[Ocak]:[Aralık]])</f>
        <v>0</v>
      </c>
      <c r="T167" s="478"/>
      <c r="U167" s="474"/>
      <c r="V167" s="475"/>
      <c r="W167" s="464"/>
    </row>
    <row r="168" spans="1:23" x14ac:dyDescent="0.25">
      <c r="A168" s="538">
        <v>2</v>
      </c>
      <c r="B168" s="56" t="s">
        <v>9</v>
      </c>
      <c r="C168" s="57" t="s">
        <v>10</v>
      </c>
      <c r="D168" s="57" t="s">
        <v>7</v>
      </c>
      <c r="E168" s="210"/>
      <c r="F168" s="108"/>
      <c r="G168" s="108"/>
      <c r="H168" s="59"/>
      <c r="I168" s="59"/>
      <c r="J168" s="59"/>
      <c r="K168" s="59"/>
      <c r="L168" s="59"/>
      <c r="M168" s="59"/>
      <c r="N168" s="59"/>
      <c r="O168" s="59"/>
      <c r="P168" s="59"/>
      <c r="Q168" s="59">
        <f>SUM(Tablo2[[#This Row],[Ocak]:[Aralık]])</f>
        <v>0</v>
      </c>
      <c r="T168" s="478"/>
      <c r="U168" s="474"/>
      <c r="V168" s="475"/>
      <c r="W168" s="464"/>
    </row>
    <row r="169" spans="1:23" x14ac:dyDescent="0.25">
      <c r="A169" s="538"/>
      <c r="B169" s="56" t="s">
        <v>9</v>
      </c>
      <c r="C169" s="57" t="s">
        <v>10</v>
      </c>
      <c r="D169" s="57" t="s">
        <v>11</v>
      </c>
      <c r="E169" s="210"/>
      <c r="F169" s="108"/>
      <c r="G169" s="108"/>
      <c r="H169" s="59">
        <v>340</v>
      </c>
      <c r="I169" s="59"/>
      <c r="J169" s="59"/>
      <c r="K169" s="59">
        <v>610</v>
      </c>
      <c r="L169" s="59"/>
      <c r="M169" s="59"/>
      <c r="N169" s="59"/>
      <c r="O169" s="59"/>
      <c r="P169" s="59"/>
      <c r="Q169" s="59">
        <f>SUM(Tablo2[[#This Row],[Ocak]:[Aralık]])</f>
        <v>950</v>
      </c>
      <c r="T169" s="478"/>
      <c r="U169" s="474"/>
      <c r="V169" s="475"/>
      <c r="W169" s="464"/>
    </row>
    <row r="170" spans="1:23" x14ac:dyDescent="0.25">
      <c r="A170" s="538"/>
      <c r="B170" s="56" t="s">
        <v>9</v>
      </c>
      <c r="C170" s="57" t="s">
        <v>10</v>
      </c>
      <c r="D170" s="57" t="s">
        <v>15</v>
      </c>
      <c r="E170" s="210"/>
      <c r="F170" s="108"/>
      <c r="G170" s="108">
        <v>700</v>
      </c>
      <c r="H170" s="59"/>
      <c r="I170" s="59"/>
      <c r="J170" s="59"/>
      <c r="K170" s="59"/>
      <c r="L170" s="59"/>
      <c r="M170" s="59"/>
      <c r="N170" s="59"/>
      <c r="O170" s="59"/>
      <c r="P170" s="59"/>
      <c r="Q170" s="59">
        <f>SUM(Tablo2[[#This Row],[Ocak]:[Aralık]])</f>
        <v>700</v>
      </c>
      <c r="T170" s="478"/>
      <c r="U170" s="474"/>
      <c r="V170" s="475"/>
      <c r="W170" s="464"/>
    </row>
    <row r="171" spans="1:23" x14ac:dyDescent="0.25">
      <c r="A171" s="538"/>
      <c r="B171" s="56" t="s">
        <v>9</v>
      </c>
      <c r="C171" s="57" t="s">
        <v>10</v>
      </c>
      <c r="D171" s="57" t="s">
        <v>19</v>
      </c>
      <c r="E171" s="210"/>
      <c r="F171" s="108"/>
      <c r="G171" s="108"/>
      <c r="H171" s="59"/>
      <c r="I171" s="59"/>
      <c r="J171" s="59"/>
      <c r="K171" s="59"/>
      <c r="L171" s="59"/>
      <c r="M171" s="59"/>
      <c r="N171" s="59"/>
      <c r="O171" s="59"/>
      <c r="P171" s="59"/>
      <c r="Q171" s="59">
        <f>SUM(Tablo2[[#This Row],[Ocak]:[Aralık]])</f>
        <v>0</v>
      </c>
      <c r="T171" s="478"/>
      <c r="U171" s="474"/>
      <c r="V171" s="474"/>
      <c r="W171" s="477"/>
    </row>
    <row r="172" spans="1:23" x14ac:dyDescent="0.25">
      <c r="A172" s="538"/>
      <c r="B172" s="56" t="s">
        <v>9</v>
      </c>
      <c r="C172" s="57" t="s">
        <v>10</v>
      </c>
      <c r="D172" s="57" t="s">
        <v>22</v>
      </c>
      <c r="E172" s="210"/>
      <c r="F172" s="108"/>
      <c r="G172" s="108"/>
      <c r="H172" s="59"/>
      <c r="I172" s="59"/>
      <c r="J172" s="59"/>
      <c r="K172" s="59"/>
      <c r="L172" s="59"/>
      <c r="M172" s="59"/>
      <c r="N172" s="59"/>
      <c r="O172" s="59"/>
      <c r="P172" s="59"/>
      <c r="Q172" s="59">
        <f>SUM(Tablo2[[#This Row],[Ocak]:[Aralık]])</f>
        <v>0</v>
      </c>
      <c r="T172" s="478"/>
      <c r="U172" s="474"/>
      <c r="V172" s="475"/>
      <c r="W172" s="464"/>
    </row>
    <row r="173" spans="1:23" x14ac:dyDescent="0.25">
      <c r="A173" s="538"/>
      <c r="B173" s="56" t="s">
        <v>9</v>
      </c>
      <c r="C173" s="57" t="s">
        <v>10</v>
      </c>
      <c r="D173" s="57" t="s">
        <v>25</v>
      </c>
      <c r="E173" s="210"/>
      <c r="F173" s="108"/>
      <c r="G173" s="108"/>
      <c r="H173" s="59"/>
      <c r="I173" s="59"/>
      <c r="J173" s="59"/>
      <c r="K173" s="59"/>
      <c r="L173" s="59"/>
      <c r="M173" s="59"/>
      <c r="N173" s="59"/>
      <c r="O173" s="59"/>
      <c r="P173" s="59"/>
      <c r="Q173" s="59">
        <f>SUM(Tablo2[[#This Row],[Ocak]:[Aralık]])</f>
        <v>0</v>
      </c>
      <c r="S173" s="474"/>
      <c r="T173" s="478"/>
      <c r="U173" s="474"/>
      <c r="V173" s="475"/>
      <c r="W173" s="464"/>
    </row>
    <row r="174" spans="1:23" x14ac:dyDescent="0.25">
      <c r="A174" s="538"/>
      <c r="B174" s="56" t="s">
        <v>9</v>
      </c>
      <c r="C174" s="57" t="s">
        <v>10</v>
      </c>
      <c r="D174" s="57" t="s">
        <v>28</v>
      </c>
      <c r="E174" s="210"/>
      <c r="F174" s="108"/>
      <c r="G174" s="108"/>
      <c r="H174" s="59"/>
      <c r="I174" s="59"/>
      <c r="J174" s="59"/>
      <c r="K174" s="59"/>
      <c r="L174" s="59"/>
      <c r="M174" s="59"/>
      <c r="N174" s="59"/>
      <c r="O174" s="59"/>
      <c r="P174" s="59"/>
      <c r="Q174" s="59">
        <f>SUM(Tablo2[[#This Row],[Ocak]:[Aralık]])</f>
        <v>0</v>
      </c>
      <c r="S174" s="474"/>
      <c r="T174" s="478"/>
      <c r="U174" s="474"/>
      <c r="V174" s="475"/>
      <c r="W174" s="464"/>
    </row>
    <row r="175" spans="1:23" x14ac:dyDescent="0.25">
      <c r="A175" s="538"/>
      <c r="B175" s="56" t="s">
        <v>9</v>
      </c>
      <c r="C175" s="57" t="s">
        <v>10</v>
      </c>
      <c r="D175" s="57" t="s">
        <v>31</v>
      </c>
      <c r="E175" s="210"/>
      <c r="F175" s="108"/>
      <c r="G175" s="108"/>
      <c r="H175" s="59"/>
      <c r="I175" s="59"/>
      <c r="J175" s="59"/>
      <c r="K175" s="59"/>
      <c r="L175" s="59"/>
      <c r="M175" s="59"/>
      <c r="N175" s="59"/>
      <c r="O175" s="59"/>
      <c r="P175" s="59"/>
      <c r="Q175" s="59">
        <f>SUM(Tablo2[[#This Row],[Ocak]:[Aralık]])</f>
        <v>0</v>
      </c>
      <c r="S175" s="474"/>
      <c r="T175" s="476"/>
      <c r="U175" s="474"/>
      <c r="V175" s="474"/>
      <c r="W175" s="477"/>
    </row>
    <row r="176" spans="1:23" x14ac:dyDescent="0.25">
      <c r="A176" s="538"/>
      <c r="B176" s="56" t="s">
        <v>9</v>
      </c>
      <c r="C176" s="57" t="s">
        <v>10</v>
      </c>
      <c r="D176" s="57" t="s">
        <v>34</v>
      </c>
      <c r="E176" s="210"/>
      <c r="F176" s="108"/>
      <c r="G176" s="108"/>
      <c r="H176" s="59"/>
      <c r="I176" s="59"/>
      <c r="J176" s="59"/>
      <c r="K176" s="59"/>
      <c r="L176" s="59"/>
      <c r="M176" s="59"/>
      <c r="N176" s="59"/>
      <c r="O176" s="59"/>
      <c r="P176" s="59"/>
      <c r="Q176" s="59">
        <f>SUM(Tablo2[[#This Row],[Ocak]:[Aralık]])</f>
        <v>0</v>
      </c>
      <c r="S176" s="474"/>
      <c r="T176" s="478"/>
      <c r="U176" s="474"/>
      <c r="V176" s="475"/>
      <c r="W176" s="464"/>
    </row>
    <row r="177" spans="1:24" x14ac:dyDescent="0.25">
      <c r="A177" s="538"/>
      <c r="B177" s="56" t="s">
        <v>9</v>
      </c>
      <c r="C177" s="57" t="s">
        <v>10</v>
      </c>
      <c r="D177" s="57" t="s">
        <v>37</v>
      </c>
      <c r="E177" s="210"/>
      <c r="F177" s="108"/>
      <c r="G177" s="108"/>
      <c r="H177" s="59">
        <v>720</v>
      </c>
      <c r="I177" s="59"/>
      <c r="J177" s="59"/>
      <c r="K177" s="59"/>
      <c r="L177" s="59">
        <v>2085</v>
      </c>
      <c r="M177" s="59"/>
      <c r="N177" s="59"/>
      <c r="O177" s="59"/>
      <c r="P177" s="59"/>
      <c r="Q177" s="59">
        <f>SUM(Tablo2[[#This Row],[Ocak]:[Aralık]])</f>
        <v>2805</v>
      </c>
      <c r="S177" s="476"/>
      <c r="T177" s="478"/>
      <c r="U177" s="474"/>
      <c r="V177" s="475"/>
      <c r="W177" s="464"/>
    </row>
    <row r="178" spans="1:24" x14ac:dyDescent="0.25">
      <c r="A178" s="538"/>
      <c r="B178" s="56" t="s">
        <v>9</v>
      </c>
      <c r="C178" s="57" t="s">
        <v>10</v>
      </c>
      <c r="D178" s="57" t="s">
        <v>39</v>
      </c>
      <c r="E178" s="210"/>
      <c r="F178" s="108"/>
      <c r="G178" s="108"/>
      <c r="H178" s="59"/>
      <c r="I178" s="59"/>
      <c r="J178" s="59"/>
      <c r="K178" s="59"/>
      <c r="L178" s="59"/>
      <c r="M178" s="59"/>
      <c r="N178" s="59"/>
      <c r="O178" s="59"/>
      <c r="P178" s="59"/>
      <c r="Q178" s="59">
        <f>SUM(Tablo2[[#This Row],[Ocak]:[Aralık]])</f>
        <v>0</v>
      </c>
      <c r="S178" s="478"/>
      <c r="T178" s="478"/>
      <c r="U178" s="474"/>
      <c r="V178" s="475"/>
      <c r="W178" s="464"/>
    </row>
    <row r="179" spans="1:24" x14ac:dyDescent="0.25">
      <c r="A179" s="538"/>
      <c r="B179" s="56" t="s">
        <v>9</v>
      </c>
      <c r="C179" s="57" t="s">
        <v>10</v>
      </c>
      <c r="D179" s="57" t="s">
        <v>42</v>
      </c>
      <c r="E179" s="210"/>
      <c r="F179" s="108"/>
      <c r="G179" s="108"/>
      <c r="H179" s="59"/>
      <c r="I179" s="59"/>
      <c r="J179" s="59"/>
      <c r="K179" s="59"/>
      <c r="L179" s="59"/>
      <c r="M179" s="59"/>
      <c r="N179" s="59"/>
      <c r="O179" s="59"/>
      <c r="P179" s="59"/>
      <c r="Q179" s="59">
        <f>SUM(Tablo2[[#This Row],[Ocak]:[Aralık]])</f>
        <v>0</v>
      </c>
      <c r="S179" s="478"/>
      <c r="T179" s="476"/>
      <c r="U179" s="474"/>
      <c r="V179" s="474"/>
      <c r="W179" s="477"/>
    </row>
    <row r="180" spans="1:24" x14ac:dyDescent="0.25">
      <c r="A180" s="538"/>
      <c r="B180" s="56" t="s">
        <v>9</v>
      </c>
      <c r="C180" s="57" t="s">
        <v>10</v>
      </c>
      <c r="D180" s="57" t="s">
        <v>45</v>
      </c>
      <c r="E180" s="210"/>
      <c r="F180" s="108"/>
      <c r="G180" s="108"/>
      <c r="H180" s="59"/>
      <c r="I180" s="59"/>
      <c r="J180" s="59"/>
      <c r="K180" s="59"/>
      <c r="L180" s="59"/>
      <c r="M180" s="59"/>
      <c r="N180" s="59"/>
      <c r="O180" s="59"/>
      <c r="P180" s="59"/>
      <c r="Q180" s="59">
        <f>SUM(Tablo2[[#This Row],[Ocak]:[Aralık]])</f>
        <v>0</v>
      </c>
      <c r="S180" s="478"/>
      <c r="T180" s="474"/>
      <c r="U180" s="475"/>
      <c r="V180" s="464"/>
    </row>
    <row r="181" spans="1:24" x14ac:dyDescent="0.25">
      <c r="A181" s="538"/>
      <c r="B181" s="56" t="s">
        <v>9</v>
      </c>
      <c r="C181" s="57" t="s">
        <v>10</v>
      </c>
      <c r="D181" s="57" t="s">
        <v>48</v>
      </c>
      <c r="E181" s="210"/>
      <c r="F181" s="108"/>
      <c r="G181" s="108"/>
      <c r="H181" s="59"/>
      <c r="I181" s="59"/>
      <c r="J181" s="59"/>
      <c r="K181" s="59"/>
      <c r="L181" s="59"/>
      <c r="M181" s="59"/>
      <c r="N181" s="59"/>
      <c r="O181" s="59"/>
      <c r="P181" s="59"/>
      <c r="Q181" s="59">
        <f>SUM(Tablo2[[#This Row],[Ocak]:[Aralık]])</f>
        <v>0</v>
      </c>
      <c r="S181" s="478"/>
      <c r="T181" s="474"/>
      <c r="U181" s="475"/>
      <c r="V181" s="464"/>
    </row>
    <row r="182" spans="1:24" x14ac:dyDescent="0.25">
      <c r="A182" s="538"/>
      <c r="B182" s="56" t="s">
        <v>9</v>
      </c>
      <c r="C182" s="57" t="s">
        <v>10</v>
      </c>
      <c r="D182" s="57" t="s">
        <v>50</v>
      </c>
      <c r="E182" s="210"/>
      <c r="F182" s="108"/>
      <c r="G182" s="108"/>
      <c r="H182" s="59"/>
      <c r="I182" s="59"/>
      <c r="J182" s="59"/>
      <c r="K182" s="59"/>
      <c r="L182" s="59"/>
      <c r="M182" s="59"/>
      <c r="N182" s="59"/>
      <c r="O182" s="59"/>
      <c r="P182" s="59"/>
      <c r="Q182" s="59">
        <f>SUM(Tablo2[[#This Row],[Ocak]:[Aralık]])</f>
        <v>0</v>
      </c>
      <c r="S182" s="478"/>
      <c r="T182" s="474"/>
      <c r="U182" s="475"/>
      <c r="V182" s="464"/>
    </row>
    <row r="183" spans="1:24" x14ac:dyDescent="0.25">
      <c r="A183" s="54">
        <v>5</v>
      </c>
      <c r="B183" s="56" t="s">
        <v>9</v>
      </c>
      <c r="C183" s="57" t="s">
        <v>14</v>
      </c>
      <c r="D183" s="57"/>
      <c r="E183" s="210">
        <v>890</v>
      </c>
      <c r="F183" s="108">
        <v>340</v>
      </c>
      <c r="G183" s="108">
        <v>900</v>
      </c>
      <c r="H183" s="59">
        <v>1830</v>
      </c>
      <c r="I183" s="59">
        <v>270</v>
      </c>
      <c r="J183" s="59"/>
      <c r="K183" s="59">
        <v>1420</v>
      </c>
      <c r="L183" s="59">
        <v>1320</v>
      </c>
      <c r="M183" s="59"/>
      <c r="N183" s="59"/>
      <c r="O183" s="59"/>
      <c r="P183" s="59"/>
      <c r="Q183" s="59">
        <f>SUM(Tablo2[[#This Row],[Ocak]:[Aralık]])</f>
        <v>6970</v>
      </c>
      <c r="S183" s="478"/>
      <c r="T183" s="474"/>
      <c r="U183" s="475"/>
      <c r="V183" s="464"/>
    </row>
    <row r="184" spans="1:24" x14ac:dyDescent="0.25">
      <c r="A184" s="54">
        <v>6</v>
      </c>
      <c r="B184" s="56" t="s">
        <v>9</v>
      </c>
      <c r="C184" s="57" t="s">
        <v>18</v>
      </c>
      <c r="D184" s="57"/>
      <c r="E184" s="210"/>
      <c r="F184" s="108"/>
      <c r="G184" s="108">
        <v>420</v>
      </c>
      <c r="H184" s="59"/>
      <c r="I184" s="59"/>
      <c r="J184" s="59"/>
      <c r="K184" s="59"/>
      <c r="L184" s="59"/>
      <c r="M184" s="59"/>
      <c r="N184" s="59"/>
      <c r="O184" s="59"/>
      <c r="P184" s="59"/>
      <c r="Q184" s="59">
        <f>SUM(Tablo2[[#This Row],[Ocak]:[Aralık]])</f>
        <v>420</v>
      </c>
      <c r="S184" s="478"/>
      <c r="T184" s="474"/>
      <c r="U184" s="474"/>
      <c r="V184" s="477"/>
    </row>
    <row r="185" spans="1:24" x14ac:dyDescent="0.25">
      <c r="A185" s="54">
        <v>7</v>
      </c>
      <c r="B185" s="56" t="s">
        <v>9</v>
      </c>
      <c r="C185" s="57" t="s">
        <v>21</v>
      </c>
      <c r="D185" s="57"/>
      <c r="E185" s="210"/>
      <c r="F185" s="108"/>
      <c r="G185" s="108"/>
      <c r="H185" s="59"/>
      <c r="I185" s="59"/>
      <c r="J185" s="59"/>
      <c r="K185" s="59"/>
      <c r="L185" s="59"/>
      <c r="M185" s="59"/>
      <c r="N185" s="59"/>
      <c r="O185" s="59"/>
      <c r="P185" s="59"/>
      <c r="Q185" s="59">
        <f>SUM(Tablo2[[#This Row],[Ocak]:[Aralık]])</f>
        <v>0</v>
      </c>
      <c r="S185" s="478"/>
      <c r="T185" s="474"/>
      <c r="U185" s="475"/>
      <c r="V185" s="464"/>
    </row>
    <row r="186" spans="1:24" x14ac:dyDescent="0.25">
      <c r="A186" s="54">
        <v>8</v>
      </c>
      <c r="B186" s="56" t="s">
        <v>9</v>
      </c>
      <c r="C186" s="57" t="s">
        <v>24</v>
      </c>
      <c r="D186" s="57"/>
      <c r="E186" s="210">
        <v>1220</v>
      </c>
      <c r="F186" s="108">
        <v>400</v>
      </c>
      <c r="G186" s="108">
        <v>2435</v>
      </c>
      <c r="H186" s="59">
        <v>2940</v>
      </c>
      <c r="I186" s="59">
        <v>1890</v>
      </c>
      <c r="J186" s="59"/>
      <c r="K186" s="59">
        <v>3210</v>
      </c>
      <c r="L186" s="59">
        <v>2770</v>
      </c>
      <c r="M186" s="59"/>
      <c r="N186" s="59"/>
      <c r="O186" s="59"/>
      <c r="P186" s="59"/>
      <c r="Q186" s="59">
        <f>SUM(Tablo2[[#This Row],[Ocak]:[Aralık]])</f>
        <v>14865</v>
      </c>
      <c r="S186" s="478"/>
      <c r="T186" s="474"/>
      <c r="U186" s="475"/>
      <c r="V186" s="464"/>
    </row>
    <row r="187" spans="1:24" x14ac:dyDescent="0.25">
      <c r="A187" s="54">
        <v>9</v>
      </c>
      <c r="B187" s="56" t="s">
        <v>9</v>
      </c>
      <c r="C187" s="57" t="s">
        <v>27</v>
      </c>
      <c r="D187" s="57"/>
      <c r="E187" s="210">
        <v>780</v>
      </c>
      <c r="F187" s="108">
        <v>500</v>
      </c>
      <c r="G187" s="108">
        <v>3190</v>
      </c>
      <c r="H187" s="59">
        <v>3350</v>
      </c>
      <c r="I187" s="59">
        <v>2170</v>
      </c>
      <c r="J187" s="59"/>
      <c r="K187" s="59">
        <v>1820</v>
      </c>
      <c r="L187" s="59">
        <v>3650</v>
      </c>
      <c r="M187" s="59"/>
      <c r="N187" s="59"/>
      <c r="O187" s="59"/>
      <c r="P187" s="59"/>
      <c r="Q187" s="59">
        <f>SUM(Tablo2[[#This Row],[Ocak]:[Aralık]])</f>
        <v>15460</v>
      </c>
      <c r="S187" s="478"/>
      <c r="T187" s="474"/>
      <c r="U187" s="475"/>
      <c r="V187" s="464"/>
    </row>
    <row r="188" spans="1:24" x14ac:dyDescent="0.25">
      <c r="A188" s="54">
        <v>10</v>
      </c>
      <c r="B188" s="56" t="s">
        <v>9</v>
      </c>
      <c r="C188" s="57" t="s">
        <v>30</v>
      </c>
      <c r="D188" s="57"/>
      <c r="E188" s="210"/>
      <c r="F188" s="108">
        <v>1100</v>
      </c>
      <c r="G188" s="108"/>
      <c r="H188" s="59"/>
      <c r="I188" s="59">
        <v>3190</v>
      </c>
      <c r="J188" s="59"/>
      <c r="K188" s="59"/>
      <c r="L188" s="59"/>
      <c r="M188" s="59"/>
      <c r="N188" s="59"/>
      <c r="O188" s="59"/>
      <c r="P188" s="59"/>
      <c r="Q188" s="59">
        <f>SUM(Tablo2[[#This Row],[Ocak]:[Aralık]])</f>
        <v>4290</v>
      </c>
      <c r="S188" s="478"/>
      <c r="T188" s="474"/>
      <c r="U188" s="475"/>
      <c r="V188" s="464"/>
    </row>
    <row r="189" spans="1:24" x14ac:dyDescent="0.25">
      <c r="A189" s="54">
        <v>11</v>
      </c>
      <c r="B189" s="56" t="s">
        <v>9</v>
      </c>
      <c r="C189" s="57" t="s">
        <v>33</v>
      </c>
      <c r="D189" s="57"/>
      <c r="E189" s="210"/>
      <c r="F189" s="108">
        <v>350</v>
      </c>
      <c r="G189" s="108">
        <v>170</v>
      </c>
      <c r="H189" s="59"/>
      <c r="I189" s="59"/>
      <c r="J189" s="59"/>
      <c r="K189" s="59">
        <v>6300</v>
      </c>
      <c r="L189" s="59"/>
      <c r="M189" s="59"/>
      <c r="N189" s="59"/>
      <c r="O189" s="59"/>
      <c r="P189" s="59"/>
      <c r="Q189" s="59">
        <f>SUM(Tablo2[[#This Row],[Ocak]:[Aralık]])</f>
        <v>6820</v>
      </c>
      <c r="S189" s="478"/>
      <c r="T189" s="474"/>
      <c r="U189" s="474"/>
      <c r="V189" s="477"/>
      <c r="W189" s="380"/>
      <c r="X189" s="380"/>
    </row>
    <row r="190" spans="1:24" ht="12" customHeight="1" x14ac:dyDescent="0.25">
      <c r="A190" s="54">
        <v>12</v>
      </c>
      <c r="B190" s="56" t="s">
        <v>9</v>
      </c>
      <c r="C190" s="57" t="s">
        <v>36</v>
      </c>
      <c r="D190" s="57"/>
      <c r="E190" s="210"/>
      <c r="F190" s="108"/>
      <c r="G190" s="108"/>
      <c r="H190" s="59"/>
      <c r="I190" s="59">
        <v>240</v>
      </c>
      <c r="J190" s="59"/>
      <c r="K190" s="59"/>
      <c r="L190" s="59"/>
      <c r="M190" s="59"/>
      <c r="N190" s="59"/>
      <c r="O190" s="59"/>
      <c r="P190" s="59"/>
      <c r="Q190" s="59">
        <f>SUM(Tablo2[[#This Row],[Ocak]:[Aralık]])</f>
        <v>240</v>
      </c>
      <c r="S190" s="478"/>
      <c r="T190" s="474"/>
      <c r="U190" s="475"/>
      <c r="V190" s="464"/>
      <c r="W190" s="380"/>
      <c r="X190" s="380"/>
    </row>
    <row r="191" spans="1:24" x14ac:dyDescent="0.25">
      <c r="A191" s="54">
        <v>13</v>
      </c>
      <c r="B191" s="56" t="s">
        <v>9</v>
      </c>
      <c r="C191" s="57" t="s">
        <v>38</v>
      </c>
      <c r="D191" s="57"/>
      <c r="E191" s="210"/>
      <c r="F191" s="108"/>
      <c r="G191" s="108">
        <v>6350</v>
      </c>
      <c r="H191" s="59">
        <v>7370</v>
      </c>
      <c r="I191" s="59"/>
      <c r="J191" s="59"/>
      <c r="K191" s="59"/>
      <c r="L191" s="59"/>
      <c r="M191" s="59"/>
      <c r="N191" s="59"/>
      <c r="O191" s="59"/>
      <c r="P191" s="59"/>
      <c r="Q191" s="59">
        <f>SUM(Tablo2[[#This Row],[Ocak]:[Aralık]])</f>
        <v>13720</v>
      </c>
      <c r="S191" s="478"/>
      <c r="T191" s="474"/>
      <c r="U191" s="475"/>
      <c r="V191" s="464"/>
    </row>
    <row r="192" spans="1:24" x14ac:dyDescent="0.25">
      <c r="A192" s="54">
        <v>14</v>
      </c>
      <c r="B192" s="56" t="s">
        <v>9</v>
      </c>
      <c r="C192" s="57" t="s">
        <v>41</v>
      </c>
      <c r="D192" s="57"/>
      <c r="E192" s="210"/>
      <c r="F192" s="108"/>
      <c r="G192" s="108"/>
      <c r="H192" s="59"/>
      <c r="I192" s="59"/>
      <c r="J192" s="59"/>
      <c r="K192" s="59"/>
      <c r="L192" s="59"/>
      <c r="M192" s="59"/>
      <c r="N192" s="59"/>
      <c r="O192" s="59"/>
      <c r="P192" s="59"/>
      <c r="Q192" s="59">
        <f>SUM(Tablo2[[#This Row],[Ocak]:[Aralık]])</f>
        <v>0</v>
      </c>
      <c r="S192" s="478"/>
      <c r="T192" s="474"/>
      <c r="U192" s="475"/>
      <c r="V192" s="464"/>
    </row>
    <row r="193" spans="1:22" x14ac:dyDescent="0.25">
      <c r="A193" s="54">
        <v>15</v>
      </c>
      <c r="B193" s="56" t="s">
        <v>9</v>
      </c>
      <c r="C193" s="57" t="s">
        <v>44</v>
      </c>
      <c r="D193" s="57"/>
      <c r="E193" s="210"/>
      <c r="F193" s="108"/>
      <c r="G193" s="108"/>
      <c r="H193" s="59"/>
      <c r="I193" s="59"/>
      <c r="J193" s="59"/>
      <c r="K193" s="59"/>
      <c r="L193" s="59">
        <v>2440</v>
      </c>
      <c r="M193" s="59"/>
      <c r="N193" s="59"/>
      <c r="O193" s="59"/>
      <c r="P193" s="59"/>
      <c r="Q193" s="59">
        <f>SUM(Tablo2[[#This Row],[Ocak]:[Aralık]])</f>
        <v>2440</v>
      </c>
      <c r="S193" s="478"/>
      <c r="T193" s="474"/>
      <c r="U193" s="475"/>
      <c r="V193" s="464"/>
    </row>
    <row r="194" spans="1:22" x14ac:dyDescent="0.25">
      <c r="A194" s="54">
        <v>16</v>
      </c>
      <c r="B194" s="56" t="s">
        <v>9</v>
      </c>
      <c r="C194" s="57" t="s">
        <v>47</v>
      </c>
      <c r="D194" s="57"/>
      <c r="E194" s="210">
        <v>260</v>
      </c>
      <c r="F194" s="108">
        <v>90</v>
      </c>
      <c r="G194" s="108">
        <v>120</v>
      </c>
      <c r="H194" s="59">
        <v>740</v>
      </c>
      <c r="I194" s="59"/>
      <c r="J194" s="59"/>
      <c r="K194" s="59"/>
      <c r="L194" s="59">
        <v>210</v>
      </c>
      <c r="M194" s="59"/>
      <c r="N194" s="59"/>
      <c r="O194" s="59"/>
      <c r="P194" s="59"/>
      <c r="Q194" s="59">
        <f>SUM(Tablo2[[#This Row],[Ocak]:[Aralık]])</f>
        <v>1420</v>
      </c>
      <c r="S194" s="478"/>
      <c r="T194" s="474"/>
      <c r="U194" s="474"/>
      <c r="V194" s="477"/>
    </row>
    <row r="195" spans="1:22" x14ac:dyDescent="0.25">
      <c r="A195" s="54">
        <v>17</v>
      </c>
      <c r="B195" s="56" t="s">
        <v>9</v>
      </c>
      <c r="C195" s="57" t="s">
        <v>49</v>
      </c>
      <c r="D195" s="57"/>
      <c r="E195" s="210"/>
      <c r="F195" s="108"/>
      <c r="G195" s="108"/>
      <c r="H195" s="59"/>
      <c r="I195" s="59"/>
      <c r="J195" s="59"/>
      <c r="K195" s="59"/>
      <c r="L195" s="59"/>
      <c r="M195" s="59"/>
      <c r="N195" s="59"/>
      <c r="O195" s="59"/>
      <c r="P195" s="59"/>
      <c r="Q195" s="59">
        <f>SUM(Tablo2[[#This Row],[Ocak]:[Aralık]])</f>
        <v>0</v>
      </c>
      <c r="S195" s="478"/>
      <c r="T195" s="474"/>
      <c r="U195" s="475"/>
      <c r="V195" s="464"/>
    </row>
    <row r="196" spans="1:22" x14ac:dyDescent="0.25">
      <c r="A196" s="54">
        <v>18</v>
      </c>
      <c r="B196" s="56" t="s">
        <v>9</v>
      </c>
      <c r="C196" s="57" t="s">
        <v>51</v>
      </c>
      <c r="D196" s="57"/>
      <c r="E196" s="210"/>
      <c r="F196" s="108"/>
      <c r="G196" s="108"/>
      <c r="H196" s="59"/>
      <c r="I196" s="59">
        <v>11055</v>
      </c>
      <c r="J196" s="59"/>
      <c r="K196" s="59"/>
      <c r="L196" s="59"/>
      <c r="M196" s="59"/>
      <c r="N196" s="59"/>
      <c r="O196" s="59"/>
      <c r="P196" s="59"/>
      <c r="Q196" s="59">
        <f>SUM(Tablo2[[#This Row],[Ocak]:[Aralık]])</f>
        <v>11055</v>
      </c>
      <c r="S196" s="478"/>
      <c r="T196" s="474"/>
      <c r="U196" s="474"/>
      <c r="V196" s="477"/>
    </row>
    <row r="197" spans="1:22" x14ac:dyDescent="0.25">
      <c r="A197" s="54">
        <v>19</v>
      </c>
      <c r="B197" s="56" t="s">
        <v>9</v>
      </c>
      <c r="C197" s="57" t="s">
        <v>52</v>
      </c>
      <c r="D197" s="57"/>
      <c r="E197" s="210"/>
      <c r="F197" s="108"/>
      <c r="G197" s="108"/>
      <c r="H197" s="59"/>
      <c r="I197" s="59"/>
      <c r="J197" s="59"/>
      <c r="K197" s="59"/>
      <c r="L197" s="59"/>
      <c r="M197" s="59"/>
      <c r="N197" s="59"/>
      <c r="O197" s="59"/>
      <c r="P197" s="59"/>
      <c r="Q197" s="59">
        <f>SUM(Tablo2[[#This Row],[Ocak]:[Aralık]])</f>
        <v>0</v>
      </c>
      <c r="S197" s="478"/>
      <c r="T197" s="474"/>
      <c r="U197" s="475"/>
      <c r="V197" s="464"/>
    </row>
    <row r="198" spans="1:22" x14ac:dyDescent="0.25">
      <c r="A198" s="54">
        <v>20</v>
      </c>
      <c r="B198" s="56" t="s">
        <v>9</v>
      </c>
      <c r="C198" s="57" t="s">
        <v>53</v>
      </c>
      <c r="D198" s="57"/>
      <c r="E198" s="210"/>
      <c r="F198" s="108"/>
      <c r="G198" s="108"/>
      <c r="H198" s="59"/>
      <c r="I198" s="59"/>
      <c r="J198" s="59"/>
      <c r="K198" s="59"/>
      <c r="L198" s="59"/>
      <c r="M198" s="59"/>
      <c r="N198" s="59"/>
      <c r="O198" s="59"/>
      <c r="P198" s="59"/>
      <c r="Q198" s="59">
        <f>SUM(Tablo2[[#This Row],[Ocak]:[Aralık]])</f>
        <v>0</v>
      </c>
      <c r="S198" s="478"/>
      <c r="T198" s="474"/>
      <c r="U198" s="475"/>
      <c r="V198" s="464"/>
    </row>
    <row r="199" spans="1:22" x14ac:dyDescent="0.25">
      <c r="A199" s="54">
        <v>21</v>
      </c>
      <c r="B199" s="56" t="s">
        <v>9</v>
      </c>
      <c r="C199" s="57" t="s">
        <v>54</v>
      </c>
      <c r="D199" s="57"/>
      <c r="E199" s="210">
        <v>125</v>
      </c>
      <c r="F199" s="108"/>
      <c r="G199" s="108"/>
      <c r="H199" s="59">
        <v>17280</v>
      </c>
      <c r="I199" s="59"/>
      <c r="J199" s="59"/>
      <c r="K199" s="59"/>
      <c r="L199" s="59">
        <v>1643</v>
      </c>
      <c r="M199" s="59"/>
      <c r="N199" s="59"/>
      <c r="O199" s="59"/>
      <c r="P199" s="59"/>
      <c r="Q199" s="59">
        <f>SUM(Tablo2[[#This Row],[Ocak]:[Aralık]])</f>
        <v>19048</v>
      </c>
      <c r="S199" s="478"/>
      <c r="T199" s="474"/>
      <c r="U199" s="475"/>
      <c r="V199" s="464"/>
    </row>
    <row r="200" spans="1:22" x14ac:dyDescent="0.25">
      <c r="A200" s="54">
        <v>22</v>
      </c>
      <c r="B200" s="56" t="s">
        <v>9</v>
      </c>
      <c r="C200" s="57" t="s">
        <v>55</v>
      </c>
      <c r="D200" s="57"/>
      <c r="E200" s="210"/>
      <c r="F200" s="108"/>
      <c r="G200" s="108"/>
      <c r="H200" s="59"/>
      <c r="I200" s="59">
        <v>640</v>
      </c>
      <c r="J200" s="59"/>
      <c r="K200" s="59"/>
      <c r="L200" s="59"/>
      <c r="M200" s="59"/>
      <c r="N200" s="59"/>
      <c r="O200" s="59"/>
      <c r="P200" s="59"/>
      <c r="Q200" s="59">
        <f>SUM(Tablo2[[#This Row],[Ocak]:[Aralık]])</f>
        <v>640</v>
      </c>
      <c r="S200" s="478"/>
      <c r="T200" s="474"/>
      <c r="U200" s="474"/>
      <c r="V200" s="477"/>
    </row>
    <row r="201" spans="1:22" x14ac:dyDescent="0.25">
      <c r="A201" s="54">
        <v>23</v>
      </c>
      <c r="B201" s="56" t="s">
        <v>9</v>
      </c>
      <c r="C201" s="57" t="s">
        <v>56</v>
      </c>
      <c r="D201" s="57"/>
      <c r="E201" s="210"/>
      <c r="F201" s="108"/>
      <c r="G201" s="108"/>
      <c r="H201" s="59"/>
      <c r="I201" s="59"/>
      <c r="J201" s="59"/>
      <c r="K201" s="59"/>
      <c r="L201" s="59"/>
      <c r="M201" s="59"/>
      <c r="N201" s="59"/>
      <c r="O201" s="59"/>
      <c r="P201" s="59"/>
      <c r="Q201" s="59">
        <f>SUM(Tablo2[[#This Row],[Ocak]:[Aralık]])</f>
        <v>0</v>
      </c>
      <c r="S201" s="478"/>
      <c r="T201" s="474"/>
      <c r="U201" s="475"/>
      <c r="V201" s="464"/>
    </row>
    <row r="202" spans="1:22" x14ac:dyDescent="0.25">
      <c r="A202" s="54">
        <v>24</v>
      </c>
      <c r="B202" s="56" t="s">
        <v>9</v>
      </c>
      <c r="C202" s="57" t="s">
        <v>57</v>
      </c>
      <c r="D202" s="57"/>
      <c r="E202" s="210"/>
      <c r="F202" s="108"/>
      <c r="G202" s="108"/>
      <c r="H202" s="59"/>
      <c r="I202" s="59"/>
      <c r="J202" s="59"/>
      <c r="K202" s="59"/>
      <c r="L202" s="59"/>
      <c r="M202" s="59"/>
      <c r="N202" s="59"/>
      <c r="O202" s="59"/>
      <c r="P202" s="59"/>
      <c r="Q202" s="59">
        <f>SUM(Tablo2[[#This Row],[Ocak]:[Aralık]])</f>
        <v>0</v>
      </c>
      <c r="S202" s="478"/>
      <c r="T202" s="474"/>
      <c r="U202" s="475"/>
      <c r="V202" s="464"/>
    </row>
    <row r="203" spans="1:22" x14ac:dyDescent="0.25">
      <c r="A203" s="538">
        <v>1</v>
      </c>
      <c r="B203" s="56" t="s">
        <v>32</v>
      </c>
      <c r="C203" s="57" t="s">
        <v>6</v>
      </c>
      <c r="D203" s="57" t="s">
        <v>7</v>
      </c>
      <c r="E203" s="210"/>
      <c r="F203" s="108"/>
      <c r="G203" s="108"/>
      <c r="H203" s="59"/>
      <c r="I203" s="59"/>
      <c r="J203" s="59"/>
      <c r="K203" s="59"/>
      <c r="L203" s="59"/>
      <c r="M203" s="59"/>
      <c r="N203" s="59"/>
      <c r="O203" s="59"/>
      <c r="P203" s="59"/>
      <c r="Q203" s="59">
        <f>SUM(Tablo2[[#This Row],[Ocak]:[Aralık]])</f>
        <v>0</v>
      </c>
      <c r="S203" s="476"/>
      <c r="T203" s="474"/>
      <c r="U203" s="474"/>
      <c r="V203" s="477"/>
    </row>
    <row r="204" spans="1:22" x14ac:dyDescent="0.25">
      <c r="A204" s="538"/>
      <c r="B204" s="56" t="s">
        <v>32</v>
      </c>
      <c r="C204" s="57" t="s">
        <v>6</v>
      </c>
      <c r="D204" s="57" t="s">
        <v>11</v>
      </c>
      <c r="E204" s="210"/>
      <c r="F204" s="108"/>
      <c r="G204" s="108"/>
      <c r="H204" s="59"/>
      <c r="I204" s="59"/>
      <c r="J204" s="59"/>
      <c r="K204" s="59"/>
      <c r="L204" s="59"/>
      <c r="M204" s="59"/>
      <c r="N204" s="59"/>
      <c r="O204" s="59"/>
      <c r="P204" s="59"/>
      <c r="Q204" s="59">
        <f>SUM(Tablo2[[#This Row],[Ocak]:[Aralık]])</f>
        <v>0</v>
      </c>
      <c r="S204" s="478"/>
      <c r="T204" s="474"/>
      <c r="U204" s="475"/>
      <c r="V204" s="464"/>
    </row>
    <row r="205" spans="1:22" x14ac:dyDescent="0.25">
      <c r="A205" s="538"/>
      <c r="B205" s="56" t="s">
        <v>32</v>
      </c>
      <c r="C205" s="57" t="s">
        <v>6</v>
      </c>
      <c r="D205" s="57" t="s">
        <v>15</v>
      </c>
      <c r="E205" s="210"/>
      <c r="F205" s="108"/>
      <c r="G205" s="108"/>
      <c r="H205" s="59"/>
      <c r="I205" s="59"/>
      <c r="J205" s="59"/>
      <c r="K205" s="59"/>
      <c r="L205" s="59"/>
      <c r="M205" s="59"/>
      <c r="N205" s="59"/>
      <c r="O205" s="59"/>
      <c r="P205" s="59"/>
      <c r="Q205" s="59">
        <f>SUM(Tablo2[[#This Row],[Ocak]:[Aralık]])</f>
        <v>0</v>
      </c>
      <c r="S205" s="476"/>
      <c r="T205" s="474"/>
      <c r="U205" s="474"/>
      <c r="V205" s="477"/>
    </row>
    <row r="206" spans="1:22" x14ac:dyDescent="0.3">
      <c r="A206" s="538"/>
      <c r="B206" s="56" t="s">
        <v>32</v>
      </c>
      <c r="C206" s="57" t="s">
        <v>6</v>
      </c>
      <c r="D206" s="57" t="s">
        <v>19</v>
      </c>
      <c r="E206" s="210"/>
      <c r="F206" s="108"/>
      <c r="G206" s="108"/>
      <c r="H206" s="59"/>
      <c r="I206" s="59"/>
      <c r="J206" s="59"/>
      <c r="K206" s="59"/>
      <c r="L206" s="59"/>
      <c r="M206" s="59"/>
      <c r="N206" s="59"/>
      <c r="O206" s="59"/>
      <c r="P206" s="59"/>
      <c r="Q206" s="59">
        <f>SUM(Tablo2[[#This Row],[Ocak]:[Aralık]])</f>
        <v>0</v>
      </c>
    </row>
    <row r="207" spans="1:22" x14ac:dyDescent="0.3">
      <c r="A207" s="538"/>
      <c r="B207" s="56" t="s">
        <v>32</v>
      </c>
      <c r="C207" s="57" t="s">
        <v>6</v>
      </c>
      <c r="D207" s="57" t="s">
        <v>22</v>
      </c>
      <c r="E207" s="210"/>
      <c r="F207" s="108"/>
      <c r="G207" s="108"/>
      <c r="H207" s="59"/>
      <c r="I207" s="59"/>
      <c r="J207" s="59"/>
      <c r="K207" s="59"/>
      <c r="L207" s="59"/>
      <c r="M207" s="59"/>
      <c r="N207" s="59"/>
      <c r="O207" s="59"/>
      <c r="P207" s="59"/>
      <c r="Q207" s="59">
        <f>SUM(Tablo2[[#This Row],[Ocak]:[Aralık]])</f>
        <v>0</v>
      </c>
    </row>
    <row r="208" spans="1:22" x14ac:dyDescent="0.3">
      <c r="A208" s="538"/>
      <c r="B208" s="56" t="s">
        <v>32</v>
      </c>
      <c r="C208" s="57" t="s">
        <v>6</v>
      </c>
      <c r="D208" s="57" t="s">
        <v>25</v>
      </c>
      <c r="E208" s="210"/>
      <c r="F208" s="108"/>
      <c r="G208" s="108"/>
      <c r="H208" s="59"/>
      <c r="I208" s="59"/>
      <c r="J208" s="59"/>
      <c r="K208" s="59"/>
      <c r="L208" s="59"/>
      <c r="M208" s="59"/>
      <c r="N208" s="59"/>
      <c r="O208" s="59"/>
      <c r="P208" s="59"/>
      <c r="Q208" s="59">
        <f>SUM(Tablo2[[#This Row],[Ocak]:[Aralık]])</f>
        <v>0</v>
      </c>
    </row>
    <row r="209" spans="1:17" x14ac:dyDescent="0.3">
      <c r="A209" s="538"/>
      <c r="B209" s="56" t="s">
        <v>32</v>
      </c>
      <c r="C209" s="57" t="s">
        <v>6</v>
      </c>
      <c r="D209" s="57" t="s">
        <v>28</v>
      </c>
      <c r="E209" s="210"/>
      <c r="F209" s="108"/>
      <c r="G209" s="108"/>
      <c r="H209" s="59"/>
      <c r="I209" s="59"/>
      <c r="J209" s="59"/>
      <c r="K209" s="59"/>
      <c r="L209" s="59"/>
      <c r="M209" s="59"/>
      <c r="N209" s="59"/>
      <c r="O209" s="59"/>
      <c r="P209" s="59"/>
      <c r="Q209" s="59">
        <f>SUM(Tablo2[[#This Row],[Ocak]:[Aralık]])</f>
        <v>0</v>
      </c>
    </row>
    <row r="210" spans="1:17" x14ac:dyDescent="0.3">
      <c r="A210" s="538"/>
      <c r="B210" s="56" t="s">
        <v>32</v>
      </c>
      <c r="C210" s="57" t="s">
        <v>6</v>
      </c>
      <c r="D210" s="57" t="s">
        <v>31</v>
      </c>
      <c r="E210" s="210"/>
      <c r="F210" s="108"/>
      <c r="G210" s="108"/>
      <c r="H210" s="59"/>
      <c r="I210" s="59"/>
      <c r="J210" s="59"/>
      <c r="K210" s="59"/>
      <c r="L210" s="59"/>
      <c r="M210" s="59"/>
      <c r="N210" s="59"/>
      <c r="O210" s="59"/>
      <c r="P210" s="59"/>
      <c r="Q210" s="59">
        <f>SUM(Tablo2[[#This Row],[Ocak]:[Aralık]])</f>
        <v>0</v>
      </c>
    </row>
    <row r="211" spans="1:17" x14ac:dyDescent="0.3">
      <c r="A211" s="538"/>
      <c r="B211" s="56" t="s">
        <v>32</v>
      </c>
      <c r="C211" s="57" t="s">
        <v>6</v>
      </c>
      <c r="D211" s="57" t="s">
        <v>34</v>
      </c>
      <c r="E211" s="210"/>
      <c r="F211" s="108"/>
      <c r="G211" s="108"/>
      <c r="H211" s="59"/>
      <c r="I211" s="59"/>
      <c r="J211" s="59"/>
      <c r="K211" s="59"/>
      <c r="L211" s="59"/>
      <c r="M211" s="59"/>
      <c r="N211" s="59"/>
      <c r="O211" s="59"/>
      <c r="P211" s="59"/>
      <c r="Q211" s="59">
        <f>SUM(Tablo2[[#This Row],[Ocak]:[Aralık]])</f>
        <v>0</v>
      </c>
    </row>
    <row r="212" spans="1:17" x14ac:dyDescent="0.3">
      <c r="A212" s="538"/>
      <c r="B212" s="56" t="s">
        <v>32</v>
      </c>
      <c r="C212" s="57" t="s">
        <v>6</v>
      </c>
      <c r="D212" s="57" t="s">
        <v>37</v>
      </c>
      <c r="E212" s="210"/>
      <c r="F212" s="108"/>
      <c r="G212" s="108"/>
      <c r="H212" s="59"/>
      <c r="I212" s="59"/>
      <c r="J212" s="59"/>
      <c r="K212" s="59"/>
      <c r="L212" s="59"/>
      <c r="M212" s="59"/>
      <c r="N212" s="59"/>
      <c r="O212" s="59"/>
      <c r="P212" s="59"/>
      <c r="Q212" s="59">
        <f>SUM(Tablo2[[#This Row],[Ocak]:[Aralık]])</f>
        <v>0</v>
      </c>
    </row>
    <row r="213" spans="1:17" x14ac:dyDescent="0.3">
      <c r="A213" s="538"/>
      <c r="B213" s="56" t="s">
        <v>32</v>
      </c>
      <c r="C213" s="57" t="s">
        <v>6</v>
      </c>
      <c r="D213" s="57" t="s">
        <v>39</v>
      </c>
      <c r="E213" s="210"/>
      <c r="F213" s="108"/>
      <c r="G213" s="108"/>
      <c r="H213" s="59"/>
      <c r="I213" s="59"/>
      <c r="J213" s="59"/>
      <c r="K213" s="59"/>
      <c r="L213" s="59"/>
      <c r="M213" s="59"/>
      <c r="N213" s="59"/>
      <c r="O213" s="59"/>
      <c r="P213" s="59"/>
      <c r="Q213" s="59">
        <f>SUM(Tablo2[[#This Row],[Ocak]:[Aralık]])</f>
        <v>0</v>
      </c>
    </row>
    <row r="214" spans="1:17" x14ac:dyDescent="0.3">
      <c r="A214" s="538"/>
      <c r="B214" s="56" t="s">
        <v>32</v>
      </c>
      <c r="C214" s="57" t="s">
        <v>6</v>
      </c>
      <c r="D214" s="57" t="s">
        <v>42</v>
      </c>
      <c r="E214" s="210"/>
      <c r="F214" s="108"/>
      <c r="G214" s="108"/>
      <c r="H214" s="59"/>
      <c r="I214" s="59"/>
      <c r="J214" s="59"/>
      <c r="K214" s="59"/>
      <c r="L214" s="59"/>
      <c r="M214" s="59"/>
      <c r="N214" s="59"/>
      <c r="O214" s="59"/>
      <c r="P214" s="59"/>
      <c r="Q214" s="59">
        <f>SUM(Tablo2[[#This Row],[Ocak]:[Aralık]])</f>
        <v>0</v>
      </c>
    </row>
    <row r="215" spans="1:17" x14ac:dyDescent="0.3">
      <c r="A215" s="538"/>
      <c r="B215" s="56" t="s">
        <v>32</v>
      </c>
      <c r="C215" s="57" t="s">
        <v>6</v>
      </c>
      <c r="D215" s="57" t="s">
        <v>45</v>
      </c>
      <c r="E215" s="210"/>
      <c r="F215" s="108"/>
      <c r="G215" s="108"/>
      <c r="H215" s="59"/>
      <c r="I215" s="59"/>
      <c r="J215" s="59"/>
      <c r="K215" s="59"/>
      <c r="L215" s="59"/>
      <c r="M215" s="59"/>
      <c r="N215" s="59"/>
      <c r="O215" s="59"/>
      <c r="P215" s="59"/>
      <c r="Q215" s="59">
        <f>SUM(Tablo2[[#This Row],[Ocak]:[Aralık]])</f>
        <v>0</v>
      </c>
    </row>
    <row r="216" spans="1:17" x14ac:dyDescent="0.3">
      <c r="A216" s="538"/>
      <c r="B216" s="56" t="s">
        <v>32</v>
      </c>
      <c r="C216" s="57" t="s">
        <v>6</v>
      </c>
      <c r="D216" s="57" t="s">
        <v>48</v>
      </c>
      <c r="E216" s="210"/>
      <c r="F216" s="108"/>
      <c r="G216" s="108"/>
      <c r="H216" s="59"/>
      <c r="I216" s="59"/>
      <c r="J216" s="59"/>
      <c r="K216" s="59"/>
      <c r="L216" s="59"/>
      <c r="M216" s="59"/>
      <c r="N216" s="59"/>
      <c r="O216" s="59"/>
      <c r="P216" s="59"/>
      <c r="Q216" s="59">
        <f>SUM(Tablo2[[#This Row],[Ocak]:[Aralık]])</f>
        <v>0</v>
      </c>
    </row>
    <row r="217" spans="1:17" x14ac:dyDescent="0.3">
      <c r="A217" s="538"/>
      <c r="B217" s="56" t="s">
        <v>32</v>
      </c>
      <c r="C217" s="57" t="s">
        <v>6</v>
      </c>
      <c r="D217" s="57" t="s">
        <v>50</v>
      </c>
      <c r="E217" s="210"/>
      <c r="F217" s="108"/>
      <c r="G217" s="108"/>
      <c r="H217" s="59"/>
      <c r="I217" s="59"/>
      <c r="J217" s="59"/>
      <c r="K217" s="59"/>
      <c r="L217" s="59"/>
      <c r="M217" s="59"/>
      <c r="N217" s="59"/>
      <c r="O217" s="59"/>
      <c r="P217" s="59"/>
      <c r="Q217" s="59">
        <f>SUM(Tablo2[[#This Row],[Ocak]:[Aralık]])</f>
        <v>0</v>
      </c>
    </row>
    <row r="218" spans="1:17" x14ac:dyDescent="0.3">
      <c r="A218" s="538">
        <v>2</v>
      </c>
      <c r="B218" s="56" t="s">
        <v>32</v>
      </c>
      <c r="C218" s="57" t="s">
        <v>10</v>
      </c>
      <c r="D218" s="57" t="s">
        <v>7</v>
      </c>
      <c r="E218" s="210"/>
      <c r="F218" s="108"/>
      <c r="G218" s="108"/>
      <c r="H218" s="59"/>
      <c r="I218" s="59"/>
      <c r="J218" s="59"/>
      <c r="K218" s="59"/>
      <c r="L218" s="59"/>
      <c r="M218" s="59"/>
      <c r="N218" s="59"/>
      <c r="O218" s="59"/>
      <c r="P218" s="59"/>
      <c r="Q218" s="59">
        <f>SUM(Tablo2[[#This Row],[Ocak]:[Aralık]])</f>
        <v>0</v>
      </c>
    </row>
    <row r="219" spans="1:17" x14ac:dyDescent="0.3">
      <c r="A219" s="538"/>
      <c r="B219" s="56" t="s">
        <v>32</v>
      </c>
      <c r="C219" s="57" t="s">
        <v>10</v>
      </c>
      <c r="D219" s="57" t="s">
        <v>11</v>
      </c>
      <c r="E219" s="210"/>
      <c r="F219" s="108"/>
      <c r="G219" s="108"/>
      <c r="H219" s="59"/>
      <c r="I219" s="59"/>
      <c r="J219" s="59"/>
      <c r="K219" s="59"/>
      <c r="L219" s="59"/>
      <c r="M219" s="59"/>
      <c r="N219" s="59"/>
      <c r="O219" s="59"/>
      <c r="P219" s="59"/>
      <c r="Q219" s="59">
        <f>SUM(Tablo2[[#This Row],[Ocak]:[Aralık]])</f>
        <v>0</v>
      </c>
    </row>
    <row r="220" spans="1:17" x14ac:dyDescent="0.3">
      <c r="A220" s="538"/>
      <c r="B220" s="56" t="s">
        <v>32</v>
      </c>
      <c r="C220" s="57" t="s">
        <v>10</v>
      </c>
      <c r="D220" s="57" t="s">
        <v>15</v>
      </c>
      <c r="E220" s="210"/>
      <c r="F220" s="108"/>
      <c r="G220" s="108"/>
      <c r="H220" s="59"/>
      <c r="I220" s="59"/>
      <c r="J220" s="59"/>
      <c r="K220" s="59"/>
      <c r="L220" s="59"/>
      <c r="M220" s="59"/>
      <c r="N220" s="59"/>
      <c r="O220" s="59"/>
      <c r="P220" s="59"/>
      <c r="Q220" s="59">
        <f>SUM(Tablo2[[#This Row],[Ocak]:[Aralık]])</f>
        <v>0</v>
      </c>
    </row>
    <row r="221" spans="1:17" x14ac:dyDescent="0.3">
      <c r="A221" s="538"/>
      <c r="B221" s="56" t="s">
        <v>32</v>
      </c>
      <c r="C221" s="57" t="s">
        <v>10</v>
      </c>
      <c r="D221" s="57" t="s">
        <v>19</v>
      </c>
      <c r="E221" s="210"/>
      <c r="F221" s="108"/>
      <c r="G221" s="108"/>
      <c r="H221" s="59"/>
      <c r="I221" s="59"/>
      <c r="J221" s="59"/>
      <c r="K221" s="59"/>
      <c r="L221" s="59"/>
      <c r="M221" s="59"/>
      <c r="N221" s="59"/>
      <c r="O221" s="59"/>
      <c r="P221" s="59"/>
      <c r="Q221" s="59">
        <f>SUM(Tablo2[[#This Row],[Ocak]:[Aralık]])</f>
        <v>0</v>
      </c>
    </row>
    <row r="222" spans="1:17" x14ac:dyDescent="0.3">
      <c r="A222" s="538"/>
      <c r="B222" s="56" t="s">
        <v>32</v>
      </c>
      <c r="C222" s="57" t="s">
        <v>10</v>
      </c>
      <c r="D222" s="57" t="s">
        <v>22</v>
      </c>
      <c r="E222" s="210"/>
      <c r="F222" s="108"/>
      <c r="G222" s="108"/>
      <c r="H222" s="59"/>
      <c r="I222" s="59"/>
      <c r="J222" s="59"/>
      <c r="K222" s="59"/>
      <c r="L222" s="59"/>
      <c r="M222" s="59"/>
      <c r="N222" s="59"/>
      <c r="O222" s="59"/>
      <c r="P222" s="59"/>
      <c r="Q222" s="59">
        <f>SUM(Tablo2[[#This Row],[Ocak]:[Aralık]])</f>
        <v>0</v>
      </c>
    </row>
    <row r="223" spans="1:17" x14ac:dyDescent="0.3">
      <c r="A223" s="538"/>
      <c r="B223" s="56" t="s">
        <v>32</v>
      </c>
      <c r="C223" s="57" t="s">
        <v>10</v>
      </c>
      <c r="D223" s="57" t="s">
        <v>25</v>
      </c>
      <c r="E223" s="210"/>
      <c r="F223" s="108"/>
      <c r="G223" s="108"/>
      <c r="H223" s="59"/>
      <c r="I223" s="59"/>
      <c r="J223" s="59"/>
      <c r="K223" s="59"/>
      <c r="L223" s="59"/>
      <c r="M223" s="59"/>
      <c r="N223" s="59"/>
      <c r="O223" s="59"/>
      <c r="P223" s="59"/>
      <c r="Q223" s="59">
        <f>SUM(Tablo2[[#This Row],[Ocak]:[Aralık]])</f>
        <v>0</v>
      </c>
    </row>
    <row r="224" spans="1:17" x14ac:dyDescent="0.3">
      <c r="A224" s="538"/>
      <c r="B224" s="56" t="s">
        <v>32</v>
      </c>
      <c r="C224" s="57" t="s">
        <v>10</v>
      </c>
      <c r="D224" s="57" t="s">
        <v>28</v>
      </c>
      <c r="E224" s="210"/>
      <c r="F224" s="108"/>
      <c r="G224" s="108"/>
      <c r="H224" s="59"/>
      <c r="I224" s="59"/>
      <c r="J224" s="59"/>
      <c r="K224" s="59"/>
      <c r="L224" s="59"/>
      <c r="M224" s="59"/>
      <c r="N224" s="59"/>
      <c r="O224" s="59"/>
      <c r="P224" s="59"/>
      <c r="Q224" s="59">
        <f>SUM(Tablo2[[#This Row],[Ocak]:[Aralık]])</f>
        <v>0</v>
      </c>
    </row>
    <row r="225" spans="1:17" x14ac:dyDescent="0.3">
      <c r="A225" s="538"/>
      <c r="B225" s="56" t="s">
        <v>32</v>
      </c>
      <c r="C225" s="57" t="s">
        <v>10</v>
      </c>
      <c r="D225" s="57" t="s">
        <v>31</v>
      </c>
      <c r="E225" s="210"/>
      <c r="F225" s="108"/>
      <c r="G225" s="108"/>
      <c r="H225" s="59"/>
      <c r="I225" s="59"/>
      <c r="J225" s="59"/>
      <c r="K225" s="59"/>
      <c r="L225" s="59"/>
      <c r="M225" s="59"/>
      <c r="N225" s="59"/>
      <c r="O225" s="59"/>
      <c r="P225" s="59"/>
      <c r="Q225" s="59">
        <f>SUM(Tablo2[[#This Row],[Ocak]:[Aralık]])</f>
        <v>0</v>
      </c>
    </row>
    <row r="226" spans="1:17" x14ac:dyDescent="0.3">
      <c r="A226" s="538"/>
      <c r="B226" s="56" t="s">
        <v>32</v>
      </c>
      <c r="C226" s="57" t="s">
        <v>10</v>
      </c>
      <c r="D226" s="57" t="s">
        <v>34</v>
      </c>
      <c r="E226" s="210"/>
      <c r="F226" s="108"/>
      <c r="G226" s="108"/>
      <c r="H226" s="59"/>
      <c r="I226" s="59"/>
      <c r="J226" s="59"/>
      <c r="K226" s="59"/>
      <c r="L226" s="59"/>
      <c r="M226" s="59"/>
      <c r="N226" s="59"/>
      <c r="O226" s="59"/>
      <c r="P226" s="59"/>
      <c r="Q226" s="59">
        <f>SUM(Tablo2[[#This Row],[Ocak]:[Aralık]])</f>
        <v>0</v>
      </c>
    </row>
    <row r="227" spans="1:17" x14ac:dyDescent="0.3">
      <c r="A227" s="538"/>
      <c r="B227" s="56" t="s">
        <v>32</v>
      </c>
      <c r="C227" s="57" t="s">
        <v>10</v>
      </c>
      <c r="D227" s="57" t="s">
        <v>37</v>
      </c>
      <c r="E227" s="210"/>
      <c r="F227" s="108"/>
      <c r="G227" s="108"/>
      <c r="H227" s="59"/>
      <c r="I227" s="59"/>
      <c r="J227" s="59"/>
      <c r="K227" s="59"/>
      <c r="L227" s="59"/>
      <c r="M227" s="59"/>
      <c r="N227" s="59"/>
      <c r="O227" s="59"/>
      <c r="P227" s="59"/>
      <c r="Q227" s="59">
        <f>SUM(Tablo2[[#This Row],[Ocak]:[Aralık]])</f>
        <v>0</v>
      </c>
    </row>
    <row r="228" spans="1:17" x14ac:dyDescent="0.3">
      <c r="A228" s="538"/>
      <c r="B228" s="56" t="s">
        <v>32</v>
      </c>
      <c r="C228" s="57" t="s">
        <v>10</v>
      </c>
      <c r="D228" s="57" t="s">
        <v>39</v>
      </c>
      <c r="E228" s="210"/>
      <c r="F228" s="108"/>
      <c r="G228" s="108"/>
      <c r="H228" s="59"/>
      <c r="I228" s="59"/>
      <c r="J228" s="59"/>
      <c r="K228" s="59"/>
      <c r="L228" s="59"/>
      <c r="M228" s="59"/>
      <c r="N228" s="59"/>
      <c r="O228" s="59"/>
      <c r="P228" s="59"/>
      <c r="Q228" s="59">
        <f>SUM(Tablo2[[#This Row],[Ocak]:[Aralık]])</f>
        <v>0</v>
      </c>
    </row>
    <row r="229" spans="1:17" x14ac:dyDescent="0.3">
      <c r="A229" s="538"/>
      <c r="B229" s="56" t="s">
        <v>32</v>
      </c>
      <c r="C229" s="57" t="s">
        <v>10</v>
      </c>
      <c r="D229" s="57" t="s">
        <v>42</v>
      </c>
      <c r="E229" s="210"/>
      <c r="F229" s="108"/>
      <c r="G229" s="108"/>
      <c r="H229" s="59"/>
      <c r="I229" s="59"/>
      <c r="J229" s="59"/>
      <c r="K229" s="59"/>
      <c r="L229" s="59"/>
      <c r="M229" s="59"/>
      <c r="N229" s="59"/>
      <c r="O229" s="59"/>
      <c r="P229" s="59"/>
      <c r="Q229" s="59">
        <f>SUM(Tablo2[[#This Row],[Ocak]:[Aralık]])</f>
        <v>0</v>
      </c>
    </row>
    <row r="230" spans="1:17" x14ac:dyDescent="0.3">
      <c r="A230" s="538"/>
      <c r="B230" s="56" t="s">
        <v>32</v>
      </c>
      <c r="C230" s="57" t="s">
        <v>10</v>
      </c>
      <c r="D230" s="57" t="s">
        <v>45</v>
      </c>
      <c r="E230" s="210"/>
      <c r="F230" s="108"/>
      <c r="G230" s="108"/>
      <c r="H230" s="59"/>
      <c r="I230" s="59"/>
      <c r="J230" s="59"/>
      <c r="K230" s="59"/>
      <c r="L230" s="59"/>
      <c r="M230" s="59"/>
      <c r="N230" s="59"/>
      <c r="O230" s="59"/>
      <c r="P230" s="59"/>
      <c r="Q230" s="59">
        <f>SUM(Tablo2[[#This Row],[Ocak]:[Aralık]])</f>
        <v>0</v>
      </c>
    </row>
    <row r="231" spans="1:17" x14ac:dyDescent="0.3">
      <c r="A231" s="538"/>
      <c r="B231" s="56" t="s">
        <v>32</v>
      </c>
      <c r="C231" s="57" t="s">
        <v>10</v>
      </c>
      <c r="D231" s="57" t="s">
        <v>48</v>
      </c>
      <c r="E231" s="210"/>
      <c r="F231" s="108"/>
      <c r="G231" s="108"/>
      <c r="H231" s="59"/>
      <c r="I231" s="59"/>
      <c r="J231" s="59"/>
      <c r="K231" s="59"/>
      <c r="L231" s="59"/>
      <c r="M231" s="59"/>
      <c r="N231" s="59"/>
      <c r="O231" s="59"/>
      <c r="P231" s="59"/>
      <c r="Q231" s="59">
        <f>SUM(Tablo2[[#This Row],[Ocak]:[Aralık]])</f>
        <v>0</v>
      </c>
    </row>
    <row r="232" spans="1:17" x14ac:dyDescent="0.3">
      <c r="A232" s="538"/>
      <c r="B232" s="56" t="s">
        <v>32</v>
      </c>
      <c r="C232" s="57" t="s">
        <v>10</v>
      </c>
      <c r="D232" s="57" t="s">
        <v>50</v>
      </c>
      <c r="E232" s="210"/>
      <c r="F232" s="108"/>
      <c r="G232" s="108"/>
      <c r="H232" s="59"/>
      <c r="I232" s="59"/>
      <c r="J232" s="59"/>
      <c r="K232" s="59"/>
      <c r="L232" s="59"/>
      <c r="M232" s="59"/>
      <c r="N232" s="59"/>
      <c r="O232" s="59"/>
      <c r="P232" s="59"/>
      <c r="Q232" s="59">
        <f>SUM(Tablo2[[#This Row],[Ocak]:[Aralık]])</f>
        <v>0</v>
      </c>
    </row>
    <row r="233" spans="1:17" x14ac:dyDescent="0.3">
      <c r="A233" s="54">
        <v>5</v>
      </c>
      <c r="B233" s="56" t="s">
        <v>32</v>
      </c>
      <c r="C233" s="57" t="s">
        <v>14</v>
      </c>
      <c r="D233" s="57"/>
      <c r="E233" s="210"/>
      <c r="F233" s="108"/>
      <c r="G233" s="108"/>
      <c r="H233" s="59"/>
      <c r="I233" s="59"/>
      <c r="J233" s="59"/>
      <c r="K233" s="59"/>
      <c r="L233" s="59"/>
      <c r="M233" s="59"/>
      <c r="N233" s="59"/>
      <c r="O233" s="59"/>
      <c r="P233" s="59"/>
      <c r="Q233" s="59">
        <f>SUM(Tablo2[[#This Row],[Ocak]:[Aralık]])</f>
        <v>0</v>
      </c>
    </row>
    <row r="234" spans="1:17" x14ac:dyDescent="0.3">
      <c r="A234" s="54">
        <v>6</v>
      </c>
      <c r="B234" s="56" t="s">
        <v>32</v>
      </c>
      <c r="C234" s="57" t="s">
        <v>18</v>
      </c>
      <c r="D234" s="57"/>
      <c r="E234" s="210"/>
      <c r="F234" s="108"/>
      <c r="G234" s="108"/>
      <c r="H234" s="59"/>
      <c r="I234" s="59"/>
      <c r="J234" s="59"/>
      <c r="K234" s="59"/>
      <c r="L234" s="59"/>
      <c r="M234" s="59"/>
      <c r="N234" s="59"/>
      <c r="O234" s="59"/>
      <c r="P234" s="59"/>
      <c r="Q234" s="59">
        <f>SUM(Tablo2[[#This Row],[Ocak]:[Aralık]])</f>
        <v>0</v>
      </c>
    </row>
    <row r="235" spans="1:17" x14ac:dyDescent="0.3">
      <c r="A235" s="54">
        <v>7</v>
      </c>
      <c r="B235" s="56" t="s">
        <v>32</v>
      </c>
      <c r="C235" s="57" t="s">
        <v>21</v>
      </c>
      <c r="D235" s="57"/>
      <c r="E235" s="210"/>
      <c r="F235" s="108"/>
      <c r="G235" s="108"/>
      <c r="H235" s="59"/>
      <c r="I235" s="59"/>
      <c r="J235" s="59"/>
      <c r="K235" s="59"/>
      <c r="L235" s="59"/>
      <c r="M235" s="59"/>
      <c r="N235" s="59"/>
      <c r="O235" s="59"/>
      <c r="P235" s="59"/>
      <c r="Q235" s="59">
        <f>SUM(Tablo2[[#This Row],[Ocak]:[Aralık]])</f>
        <v>0</v>
      </c>
    </row>
    <row r="236" spans="1:17" x14ac:dyDescent="0.3">
      <c r="A236" s="54">
        <v>8</v>
      </c>
      <c r="B236" s="56" t="s">
        <v>32</v>
      </c>
      <c r="C236" s="57" t="s">
        <v>24</v>
      </c>
      <c r="D236" s="57"/>
      <c r="E236" s="210"/>
      <c r="F236" s="108"/>
      <c r="G236" s="108"/>
      <c r="H236" s="59"/>
      <c r="I236" s="59"/>
      <c r="J236" s="59"/>
      <c r="K236" s="59"/>
      <c r="L236" s="59"/>
      <c r="M236" s="59"/>
      <c r="N236" s="59"/>
      <c r="O236" s="59"/>
      <c r="P236" s="59"/>
      <c r="Q236" s="59">
        <f>SUM(Tablo2[[#This Row],[Ocak]:[Aralık]])</f>
        <v>0</v>
      </c>
    </row>
    <row r="237" spans="1:17" x14ac:dyDescent="0.3">
      <c r="A237" s="54">
        <v>9</v>
      </c>
      <c r="B237" s="56" t="s">
        <v>32</v>
      </c>
      <c r="C237" s="57" t="s">
        <v>27</v>
      </c>
      <c r="D237" s="57"/>
      <c r="E237" s="210"/>
      <c r="F237" s="108"/>
      <c r="G237" s="108"/>
      <c r="H237" s="59"/>
      <c r="I237" s="59"/>
      <c r="J237" s="59"/>
      <c r="K237" s="59"/>
      <c r="L237" s="59"/>
      <c r="M237" s="59"/>
      <c r="N237" s="59"/>
      <c r="O237" s="59"/>
      <c r="P237" s="59"/>
      <c r="Q237" s="59">
        <f>SUM(Tablo2[[#This Row],[Ocak]:[Aralık]])</f>
        <v>0</v>
      </c>
    </row>
    <row r="238" spans="1:17" x14ac:dyDescent="0.3">
      <c r="A238" s="54">
        <v>10</v>
      </c>
      <c r="B238" s="56" t="s">
        <v>32</v>
      </c>
      <c r="C238" s="57" t="s">
        <v>30</v>
      </c>
      <c r="D238" s="57"/>
      <c r="E238" s="210"/>
      <c r="F238" s="108"/>
      <c r="G238" s="108"/>
      <c r="H238" s="59"/>
      <c r="I238" s="59"/>
      <c r="J238" s="59"/>
      <c r="K238" s="59"/>
      <c r="L238" s="59"/>
      <c r="M238" s="59"/>
      <c r="N238" s="59"/>
      <c r="O238" s="59"/>
      <c r="P238" s="59"/>
      <c r="Q238" s="59">
        <f>SUM(Tablo2[[#This Row],[Ocak]:[Aralık]])</f>
        <v>0</v>
      </c>
    </row>
    <row r="239" spans="1:17" x14ac:dyDescent="0.3">
      <c r="A239" s="54">
        <v>11</v>
      </c>
      <c r="B239" s="56" t="s">
        <v>32</v>
      </c>
      <c r="C239" s="57" t="s">
        <v>33</v>
      </c>
      <c r="D239" s="57"/>
      <c r="E239" s="210"/>
      <c r="F239" s="108"/>
      <c r="G239" s="108"/>
      <c r="H239" s="59"/>
      <c r="I239" s="59"/>
      <c r="J239" s="59"/>
      <c r="K239" s="59"/>
      <c r="L239" s="59"/>
      <c r="M239" s="59"/>
      <c r="N239" s="59"/>
      <c r="O239" s="59"/>
      <c r="P239" s="59"/>
      <c r="Q239" s="59">
        <f>SUM(Tablo2[[#This Row],[Ocak]:[Aralık]])</f>
        <v>0</v>
      </c>
    </row>
    <row r="240" spans="1:17" x14ac:dyDescent="0.3">
      <c r="A240" s="54">
        <v>12</v>
      </c>
      <c r="B240" s="56" t="s">
        <v>32</v>
      </c>
      <c r="C240" s="57" t="s">
        <v>36</v>
      </c>
      <c r="D240" s="57"/>
      <c r="E240" s="210"/>
      <c r="F240" s="108"/>
      <c r="G240" s="108"/>
      <c r="H240" s="59"/>
      <c r="I240" s="59"/>
      <c r="J240" s="59"/>
      <c r="K240" s="59"/>
      <c r="L240" s="59"/>
      <c r="M240" s="59"/>
      <c r="N240" s="59"/>
      <c r="O240" s="59"/>
      <c r="P240" s="59"/>
      <c r="Q240" s="59">
        <f>SUM(Tablo2[[#This Row],[Ocak]:[Aralık]])</f>
        <v>0</v>
      </c>
    </row>
    <row r="241" spans="1:17" x14ac:dyDescent="0.3">
      <c r="A241" s="54">
        <v>13</v>
      </c>
      <c r="B241" s="56" t="s">
        <v>32</v>
      </c>
      <c r="C241" s="57" t="s">
        <v>38</v>
      </c>
      <c r="D241" s="57"/>
      <c r="E241" s="210"/>
      <c r="F241" s="108"/>
      <c r="G241" s="108"/>
      <c r="H241" s="59"/>
      <c r="I241" s="59"/>
      <c r="J241" s="59"/>
      <c r="K241" s="59"/>
      <c r="L241" s="59"/>
      <c r="M241" s="59"/>
      <c r="N241" s="59"/>
      <c r="O241" s="59"/>
      <c r="P241" s="59"/>
      <c r="Q241" s="59">
        <f>SUM(Tablo2[[#This Row],[Ocak]:[Aralık]])</f>
        <v>0</v>
      </c>
    </row>
    <row r="242" spans="1:17" x14ac:dyDescent="0.3">
      <c r="A242" s="54">
        <v>14</v>
      </c>
      <c r="B242" s="56" t="s">
        <v>32</v>
      </c>
      <c r="C242" s="57" t="s">
        <v>41</v>
      </c>
      <c r="D242" s="57"/>
      <c r="E242" s="210"/>
      <c r="F242" s="108"/>
      <c r="G242" s="108"/>
      <c r="H242" s="59"/>
      <c r="I242" s="59"/>
      <c r="J242" s="59"/>
      <c r="K242" s="59"/>
      <c r="L242" s="59"/>
      <c r="M242" s="59"/>
      <c r="N242" s="59"/>
      <c r="O242" s="59"/>
      <c r="P242" s="59"/>
      <c r="Q242" s="59">
        <f>SUM(Tablo2[[#This Row],[Ocak]:[Aralık]])</f>
        <v>0</v>
      </c>
    </row>
    <row r="243" spans="1:17" x14ac:dyDescent="0.3">
      <c r="A243" s="54">
        <v>15</v>
      </c>
      <c r="B243" s="56" t="s">
        <v>32</v>
      </c>
      <c r="C243" s="57" t="s">
        <v>44</v>
      </c>
      <c r="D243" s="57"/>
      <c r="E243" s="210"/>
      <c r="F243" s="108"/>
      <c r="G243" s="108"/>
      <c r="H243" s="59"/>
      <c r="I243" s="59"/>
      <c r="J243" s="59"/>
      <c r="K243" s="59"/>
      <c r="L243" s="59"/>
      <c r="M243" s="59"/>
      <c r="N243" s="59"/>
      <c r="O243" s="59"/>
      <c r="P243" s="59"/>
      <c r="Q243" s="59">
        <f>SUM(Tablo2[[#This Row],[Ocak]:[Aralık]])</f>
        <v>0</v>
      </c>
    </row>
    <row r="244" spans="1:17" x14ac:dyDescent="0.3">
      <c r="B244" s="366"/>
      <c r="C244" s="367"/>
      <c r="D244" s="367"/>
      <c r="E244" s="210"/>
      <c r="F244" s="108"/>
      <c r="G244" s="10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>
        <f>SUM(Tablo2[[#This Row],[Ocak]:[Aralık]])</f>
        <v>0</v>
      </c>
    </row>
    <row r="245" spans="1:17" x14ac:dyDescent="0.3">
      <c r="A245" s="54">
        <v>16</v>
      </c>
      <c r="B245" s="56" t="s">
        <v>32</v>
      </c>
      <c r="C245" s="57" t="s">
        <v>49</v>
      </c>
      <c r="D245" s="57"/>
      <c r="E245" s="210"/>
      <c r="F245" s="108"/>
      <c r="G245" s="108"/>
      <c r="H245" s="59"/>
      <c r="I245" s="59"/>
      <c r="J245" s="59"/>
      <c r="K245" s="59"/>
      <c r="L245" s="59"/>
      <c r="M245" s="59"/>
      <c r="N245" s="59"/>
      <c r="O245" s="59"/>
      <c r="P245" s="59"/>
      <c r="Q245" s="59">
        <f>SUM(Tablo2[[#This Row],[Ocak]:[Aralık]])</f>
        <v>0</v>
      </c>
    </row>
    <row r="246" spans="1:17" x14ac:dyDescent="0.3">
      <c r="A246" s="54">
        <v>17</v>
      </c>
      <c r="B246" s="56" t="s">
        <v>32</v>
      </c>
      <c r="C246" s="57" t="s">
        <v>51</v>
      </c>
      <c r="D246" s="57"/>
      <c r="E246" s="210"/>
      <c r="F246" s="108"/>
      <c r="G246" s="108"/>
      <c r="H246" s="59"/>
      <c r="I246" s="59"/>
      <c r="J246" s="59"/>
      <c r="K246" s="59"/>
      <c r="L246" s="59"/>
      <c r="M246" s="59"/>
      <c r="N246" s="59"/>
      <c r="O246" s="59"/>
      <c r="P246" s="59"/>
      <c r="Q246" s="59">
        <f>SUM(Tablo2[[#This Row],[Ocak]:[Aralık]])</f>
        <v>0</v>
      </c>
    </row>
    <row r="247" spans="1:17" x14ac:dyDescent="0.3">
      <c r="A247" s="54">
        <v>18</v>
      </c>
      <c r="B247" s="56" t="s">
        <v>32</v>
      </c>
      <c r="C247" s="57" t="s">
        <v>52</v>
      </c>
      <c r="D247" s="57"/>
      <c r="E247" s="210"/>
      <c r="F247" s="108"/>
      <c r="G247" s="108"/>
      <c r="H247" s="59"/>
      <c r="I247" s="59"/>
      <c r="J247" s="59"/>
      <c r="K247" s="59"/>
      <c r="L247" s="59"/>
      <c r="M247" s="59"/>
      <c r="N247" s="59"/>
      <c r="O247" s="59"/>
      <c r="P247" s="59"/>
      <c r="Q247" s="59">
        <f>SUM(Tablo2[[#This Row],[Ocak]:[Aralık]])</f>
        <v>0</v>
      </c>
    </row>
    <row r="248" spans="1:17" x14ac:dyDescent="0.3">
      <c r="A248" s="54">
        <v>19</v>
      </c>
      <c r="B248" s="56" t="s">
        <v>32</v>
      </c>
      <c r="C248" s="57" t="s">
        <v>53</v>
      </c>
      <c r="D248" s="57"/>
      <c r="E248" s="210"/>
      <c r="F248" s="108"/>
      <c r="G248" s="108"/>
      <c r="H248" s="59"/>
      <c r="I248" s="59"/>
      <c r="J248" s="59"/>
      <c r="K248" s="59"/>
      <c r="L248" s="59"/>
      <c r="M248" s="59"/>
      <c r="N248" s="59"/>
      <c r="O248" s="59"/>
      <c r="P248" s="59"/>
      <c r="Q248" s="59">
        <f>SUM(Tablo2[[#This Row],[Ocak]:[Aralık]])</f>
        <v>0</v>
      </c>
    </row>
    <row r="249" spans="1:17" x14ac:dyDescent="0.3">
      <c r="A249" s="54">
        <v>20</v>
      </c>
      <c r="B249" s="56" t="s">
        <v>32</v>
      </c>
      <c r="C249" s="57" t="s">
        <v>54</v>
      </c>
      <c r="D249" s="57"/>
      <c r="E249" s="210"/>
      <c r="F249" s="108"/>
      <c r="G249" s="108"/>
      <c r="H249" s="59"/>
      <c r="I249" s="59"/>
      <c r="J249" s="59"/>
      <c r="K249" s="59"/>
      <c r="L249" s="59"/>
      <c r="M249" s="59"/>
      <c r="N249" s="59"/>
      <c r="O249" s="59"/>
      <c r="P249" s="59"/>
      <c r="Q249" s="59">
        <f>SUM(Tablo2[[#This Row],[Ocak]:[Aralık]])</f>
        <v>0</v>
      </c>
    </row>
    <row r="250" spans="1:17" x14ac:dyDescent="0.3">
      <c r="A250" s="54">
        <v>21</v>
      </c>
      <c r="B250" s="56" t="s">
        <v>32</v>
      </c>
      <c r="C250" s="57" t="s">
        <v>55</v>
      </c>
      <c r="D250" s="57"/>
      <c r="E250" s="210"/>
      <c r="F250" s="108"/>
      <c r="G250" s="108"/>
      <c r="H250" s="59"/>
      <c r="I250" s="59"/>
      <c r="J250" s="59"/>
      <c r="K250" s="59"/>
      <c r="L250" s="59"/>
      <c r="M250" s="59"/>
      <c r="N250" s="59"/>
      <c r="O250" s="59"/>
      <c r="P250" s="59"/>
      <c r="Q250" s="59">
        <f>SUM(Tablo2[[#This Row],[Ocak]:[Aralık]])</f>
        <v>0</v>
      </c>
    </row>
    <row r="251" spans="1:17" x14ac:dyDescent="0.3">
      <c r="A251" s="54">
        <v>22</v>
      </c>
      <c r="B251" s="56" t="s">
        <v>32</v>
      </c>
      <c r="C251" s="57" t="s">
        <v>56</v>
      </c>
      <c r="D251" s="57"/>
      <c r="E251" s="210"/>
      <c r="F251" s="108"/>
      <c r="G251" s="108"/>
      <c r="H251" s="59"/>
      <c r="I251" s="59"/>
      <c r="J251" s="59"/>
      <c r="K251" s="59"/>
      <c r="L251" s="59"/>
      <c r="M251" s="59"/>
      <c r="N251" s="59"/>
      <c r="O251" s="59"/>
      <c r="P251" s="59"/>
      <c r="Q251" s="59">
        <f>SUM(Tablo2[[#This Row],[Ocak]:[Aralık]])</f>
        <v>0</v>
      </c>
    </row>
    <row r="252" spans="1:17" x14ac:dyDescent="0.3">
      <c r="A252" s="54">
        <v>23</v>
      </c>
      <c r="B252" s="56" t="s">
        <v>32</v>
      </c>
      <c r="C252" s="57" t="s">
        <v>57</v>
      </c>
      <c r="D252" s="57"/>
      <c r="E252" s="210"/>
      <c r="F252" s="108"/>
      <c r="G252" s="108">
        <v>480</v>
      </c>
      <c r="H252" s="59"/>
      <c r="I252" s="59"/>
      <c r="J252" s="59"/>
      <c r="K252" s="59"/>
      <c r="L252" s="59"/>
      <c r="M252" s="59"/>
      <c r="N252" s="59"/>
      <c r="O252" s="59"/>
      <c r="P252" s="59"/>
      <c r="Q252" s="59">
        <f>SUM(Tablo2[[#This Row],[Ocak]:[Aralık]])</f>
        <v>480</v>
      </c>
    </row>
    <row r="253" spans="1:17" ht="15" customHeight="1" x14ac:dyDescent="0.3">
      <c r="A253" s="538">
        <v>1</v>
      </c>
      <c r="B253" s="56" t="s">
        <v>26</v>
      </c>
      <c r="C253" s="57" t="s">
        <v>6</v>
      </c>
      <c r="D253" s="57" t="s">
        <v>7</v>
      </c>
      <c r="E253" s="210"/>
      <c r="F253" s="108"/>
      <c r="G253" s="108"/>
      <c r="H253" s="59"/>
      <c r="I253" s="59"/>
      <c r="J253" s="59"/>
      <c r="K253" s="59"/>
      <c r="L253" s="59"/>
      <c r="M253" s="59"/>
      <c r="N253" s="59"/>
      <c r="O253" s="59"/>
      <c r="P253" s="59"/>
      <c r="Q253" s="59">
        <f>SUM(Tablo2[[#This Row],[Ocak]:[Aralık]])</f>
        <v>0</v>
      </c>
    </row>
    <row r="254" spans="1:17" x14ac:dyDescent="0.3">
      <c r="A254" s="538"/>
      <c r="B254" s="56" t="s">
        <v>26</v>
      </c>
      <c r="C254" s="57" t="s">
        <v>6</v>
      </c>
      <c r="D254" s="57" t="s">
        <v>11</v>
      </c>
      <c r="E254" s="210"/>
      <c r="F254" s="108"/>
      <c r="G254" s="108"/>
      <c r="H254" s="59"/>
      <c r="I254" s="59"/>
      <c r="J254" s="59"/>
      <c r="K254" s="59"/>
      <c r="L254" s="59"/>
      <c r="M254" s="59"/>
      <c r="N254" s="59"/>
      <c r="O254" s="59"/>
      <c r="P254" s="59"/>
      <c r="Q254" s="59">
        <f>SUM(Tablo2[[#This Row],[Ocak]:[Aralık]])</f>
        <v>0</v>
      </c>
    </row>
    <row r="255" spans="1:17" x14ac:dyDescent="0.3">
      <c r="A255" s="538"/>
      <c r="B255" s="56" t="s">
        <v>26</v>
      </c>
      <c r="C255" s="57" t="s">
        <v>6</v>
      </c>
      <c r="D255" s="57" t="s">
        <v>15</v>
      </c>
      <c r="E255" s="210"/>
      <c r="F255" s="108"/>
      <c r="G255" s="108"/>
      <c r="H255" s="59"/>
      <c r="I255" s="59"/>
      <c r="J255" s="59"/>
      <c r="K255" s="59"/>
      <c r="L255" s="59"/>
      <c r="M255" s="59"/>
      <c r="N255" s="59"/>
      <c r="O255" s="59"/>
      <c r="P255" s="59"/>
      <c r="Q255" s="59">
        <f>SUM(Tablo2[[#This Row],[Ocak]:[Aralık]])</f>
        <v>0</v>
      </c>
    </row>
    <row r="256" spans="1:17" x14ac:dyDescent="0.3">
      <c r="A256" s="538"/>
      <c r="B256" s="56" t="s">
        <v>26</v>
      </c>
      <c r="C256" s="57" t="s">
        <v>6</v>
      </c>
      <c r="D256" s="57" t="s">
        <v>19</v>
      </c>
      <c r="E256" s="210"/>
      <c r="F256" s="108"/>
      <c r="G256" s="108"/>
      <c r="H256" s="59"/>
      <c r="I256" s="59"/>
      <c r="J256" s="59"/>
      <c r="K256" s="59"/>
      <c r="L256" s="59"/>
      <c r="M256" s="59"/>
      <c r="N256" s="59"/>
      <c r="O256" s="59"/>
      <c r="P256" s="59"/>
      <c r="Q256" s="59">
        <f>SUM(Tablo2[[#This Row],[Ocak]:[Aralık]])</f>
        <v>0</v>
      </c>
    </row>
    <row r="257" spans="1:17" x14ac:dyDescent="0.3">
      <c r="A257" s="538"/>
      <c r="B257" s="56" t="s">
        <v>26</v>
      </c>
      <c r="C257" s="57" t="s">
        <v>6</v>
      </c>
      <c r="D257" s="57" t="s">
        <v>22</v>
      </c>
      <c r="E257" s="210"/>
      <c r="F257" s="108"/>
      <c r="G257" s="108"/>
      <c r="H257" s="59"/>
      <c r="I257" s="59"/>
      <c r="J257" s="59"/>
      <c r="K257" s="59"/>
      <c r="L257" s="59"/>
      <c r="M257" s="59"/>
      <c r="N257" s="59"/>
      <c r="O257" s="59"/>
      <c r="P257" s="59"/>
      <c r="Q257" s="59">
        <f>SUM(Tablo2[[#This Row],[Ocak]:[Aralık]])</f>
        <v>0</v>
      </c>
    </row>
    <row r="258" spans="1:17" x14ac:dyDescent="0.3">
      <c r="A258" s="538"/>
      <c r="B258" s="56" t="s">
        <v>26</v>
      </c>
      <c r="C258" s="57" t="s">
        <v>6</v>
      </c>
      <c r="D258" s="57" t="s">
        <v>25</v>
      </c>
      <c r="E258" s="210"/>
      <c r="F258" s="108"/>
      <c r="G258" s="108"/>
      <c r="H258" s="59"/>
      <c r="I258" s="59"/>
      <c r="J258" s="59"/>
      <c r="K258" s="59"/>
      <c r="L258" s="59"/>
      <c r="M258" s="59"/>
      <c r="N258" s="59"/>
      <c r="O258" s="59"/>
      <c r="P258" s="59"/>
      <c r="Q258" s="59">
        <f>SUM(Tablo2[[#This Row],[Ocak]:[Aralık]])</f>
        <v>0</v>
      </c>
    </row>
    <row r="259" spans="1:17" x14ac:dyDescent="0.3">
      <c r="A259" s="538"/>
      <c r="B259" s="56" t="s">
        <v>26</v>
      </c>
      <c r="C259" s="57" t="s">
        <v>6</v>
      </c>
      <c r="D259" s="57" t="s">
        <v>28</v>
      </c>
      <c r="E259" s="210"/>
      <c r="F259" s="108">
        <v>30</v>
      </c>
      <c r="G259" s="108"/>
      <c r="H259" s="59"/>
      <c r="I259" s="59"/>
      <c r="J259" s="59"/>
      <c r="K259" s="59"/>
      <c r="L259" s="59"/>
      <c r="M259" s="59"/>
      <c r="N259" s="59"/>
      <c r="O259" s="59"/>
      <c r="P259" s="59"/>
      <c r="Q259" s="59">
        <f>SUM(Tablo2[[#This Row],[Ocak]:[Aralık]])</f>
        <v>30</v>
      </c>
    </row>
    <row r="260" spans="1:17" x14ac:dyDescent="0.3">
      <c r="A260" s="538"/>
      <c r="B260" s="56" t="s">
        <v>26</v>
      </c>
      <c r="C260" s="57" t="s">
        <v>6</v>
      </c>
      <c r="D260" s="57" t="s">
        <v>31</v>
      </c>
      <c r="E260" s="210"/>
      <c r="F260" s="108"/>
      <c r="G260" s="108"/>
      <c r="H260" s="59"/>
      <c r="I260" s="59"/>
      <c r="J260" s="59"/>
      <c r="K260" s="59"/>
      <c r="L260" s="59"/>
      <c r="M260" s="59"/>
      <c r="N260" s="59"/>
      <c r="O260" s="59"/>
      <c r="P260" s="59"/>
      <c r="Q260" s="59">
        <f>SUM(Tablo2[[#This Row],[Ocak]:[Aralık]])</f>
        <v>0</v>
      </c>
    </row>
    <row r="261" spans="1:17" x14ac:dyDescent="0.3">
      <c r="A261" s="538"/>
      <c r="B261" s="56" t="s">
        <v>26</v>
      </c>
      <c r="C261" s="57" t="s">
        <v>6</v>
      </c>
      <c r="D261" s="57" t="s">
        <v>34</v>
      </c>
      <c r="E261" s="210"/>
      <c r="F261" s="108"/>
      <c r="G261" s="108"/>
      <c r="H261" s="59"/>
      <c r="I261" s="59"/>
      <c r="J261" s="59"/>
      <c r="K261" s="59"/>
      <c r="L261" s="59"/>
      <c r="M261" s="59"/>
      <c r="N261" s="59"/>
      <c r="O261" s="59"/>
      <c r="P261" s="59"/>
      <c r="Q261" s="59">
        <f>SUM(Tablo2[[#This Row],[Ocak]:[Aralık]])</f>
        <v>0</v>
      </c>
    </row>
    <row r="262" spans="1:17" x14ac:dyDescent="0.3">
      <c r="A262" s="538"/>
      <c r="B262" s="56" t="s">
        <v>26</v>
      </c>
      <c r="C262" s="57" t="s">
        <v>6</v>
      </c>
      <c r="D262" s="57" t="s">
        <v>37</v>
      </c>
      <c r="E262" s="210"/>
      <c r="F262" s="108"/>
      <c r="G262" s="108"/>
      <c r="H262" s="59"/>
      <c r="I262" s="59"/>
      <c r="J262" s="59"/>
      <c r="K262" s="59"/>
      <c r="L262" s="59"/>
      <c r="M262" s="59"/>
      <c r="N262" s="59"/>
      <c r="O262" s="59"/>
      <c r="P262" s="59"/>
      <c r="Q262" s="59">
        <f>SUM(Tablo2[[#This Row],[Ocak]:[Aralık]])</f>
        <v>0</v>
      </c>
    </row>
    <row r="263" spans="1:17" x14ac:dyDescent="0.3">
      <c r="A263" s="538"/>
      <c r="B263" s="56" t="s">
        <v>26</v>
      </c>
      <c r="C263" s="57" t="s">
        <v>6</v>
      </c>
      <c r="D263" s="57" t="s">
        <v>39</v>
      </c>
      <c r="E263" s="210"/>
      <c r="F263" s="108"/>
      <c r="G263" s="108"/>
      <c r="H263" s="59"/>
      <c r="I263" s="59"/>
      <c r="J263" s="59"/>
      <c r="K263" s="59"/>
      <c r="L263" s="59"/>
      <c r="M263" s="59"/>
      <c r="N263" s="59"/>
      <c r="O263" s="59"/>
      <c r="P263" s="59"/>
      <c r="Q263" s="59">
        <f>SUM(Tablo2[[#This Row],[Ocak]:[Aralık]])</f>
        <v>0</v>
      </c>
    </row>
    <row r="264" spans="1:17" x14ac:dyDescent="0.3">
      <c r="A264" s="538"/>
      <c r="B264" s="56" t="s">
        <v>26</v>
      </c>
      <c r="C264" s="57" t="s">
        <v>6</v>
      </c>
      <c r="D264" s="57" t="s">
        <v>42</v>
      </c>
      <c r="E264" s="210"/>
      <c r="F264" s="108"/>
      <c r="G264" s="108"/>
      <c r="H264" s="59"/>
      <c r="I264" s="59"/>
      <c r="J264" s="59"/>
      <c r="K264" s="59"/>
      <c r="L264" s="59"/>
      <c r="M264" s="59"/>
      <c r="N264" s="59"/>
      <c r="O264" s="59"/>
      <c r="P264" s="59"/>
      <c r="Q264" s="59">
        <f>SUM(Tablo2[[#This Row],[Ocak]:[Aralık]])</f>
        <v>0</v>
      </c>
    </row>
    <row r="265" spans="1:17" x14ac:dyDescent="0.3">
      <c r="A265" s="538"/>
      <c r="B265" s="56" t="s">
        <v>26</v>
      </c>
      <c r="C265" s="57" t="s">
        <v>6</v>
      </c>
      <c r="D265" s="57" t="s">
        <v>45</v>
      </c>
      <c r="E265" s="210"/>
      <c r="F265" s="108"/>
      <c r="G265" s="108"/>
      <c r="H265" s="59"/>
      <c r="I265" s="59"/>
      <c r="J265" s="59"/>
      <c r="K265" s="59"/>
      <c r="L265" s="59"/>
      <c r="M265" s="59"/>
      <c r="N265" s="59"/>
      <c r="O265" s="59"/>
      <c r="P265" s="59"/>
      <c r="Q265" s="59">
        <f>SUM(Tablo2[[#This Row],[Ocak]:[Aralık]])</f>
        <v>0</v>
      </c>
    </row>
    <row r="266" spans="1:17" x14ac:dyDescent="0.3">
      <c r="A266" s="538"/>
      <c r="B266" s="56" t="s">
        <v>26</v>
      </c>
      <c r="C266" s="57" t="s">
        <v>6</v>
      </c>
      <c r="D266" s="57" t="s">
        <v>48</v>
      </c>
      <c r="E266" s="210"/>
      <c r="F266" s="108"/>
      <c r="G266" s="108"/>
      <c r="H266" s="59"/>
      <c r="I266" s="59"/>
      <c r="J266" s="59"/>
      <c r="K266" s="59"/>
      <c r="L266" s="59"/>
      <c r="M266" s="59"/>
      <c r="N266" s="59"/>
      <c r="O266" s="59"/>
      <c r="P266" s="59"/>
      <c r="Q266" s="59">
        <f>SUM(Tablo2[[#This Row],[Ocak]:[Aralık]])</f>
        <v>0</v>
      </c>
    </row>
    <row r="267" spans="1:17" x14ac:dyDescent="0.3">
      <c r="A267" s="538"/>
      <c r="B267" s="56" t="s">
        <v>26</v>
      </c>
      <c r="C267" s="57" t="s">
        <v>6</v>
      </c>
      <c r="D267" s="57" t="s">
        <v>50</v>
      </c>
      <c r="E267" s="210"/>
      <c r="F267" s="108"/>
      <c r="G267" s="108">
        <v>30</v>
      </c>
      <c r="H267" s="59"/>
      <c r="I267" s="59"/>
      <c r="J267" s="59"/>
      <c r="K267" s="59"/>
      <c r="L267" s="59">
        <v>210</v>
      </c>
      <c r="M267" s="59"/>
      <c r="N267" s="59"/>
      <c r="O267" s="59"/>
      <c r="P267" s="59"/>
      <c r="Q267" s="59">
        <f>SUM(Tablo2[[#This Row],[Ocak]:[Aralık]])</f>
        <v>240</v>
      </c>
    </row>
    <row r="268" spans="1:17" ht="15" customHeight="1" x14ac:dyDescent="0.3">
      <c r="A268" s="538">
        <v>2</v>
      </c>
      <c r="B268" s="56" t="s">
        <v>26</v>
      </c>
      <c r="C268" s="57" t="s">
        <v>10</v>
      </c>
      <c r="D268" s="57" t="s">
        <v>7</v>
      </c>
      <c r="E268" s="210"/>
      <c r="F268" s="108"/>
      <c r="G268" s="108"/>
      <c r="H268" s="59"/>
      <c r="I268" s="59"/>
      <c r="J268" s="59"/>
      <c r="K268" s="59"/>
      <c r="L268" s="59"/>
      <c r="M268" s="59"/>
      <c r="N268" s="59"/>
      <c r="O268" s="59"/>
      <c r="P268" s="59"/>
      <c r="Q268" s="59">
        <f>SUM(Tablo2[[#This Row],[Ocak]:[Aralık]])</f>
        <v>0</v>
      </c>
    </row>
    <row r="269" spans="1:17" x14ac:dyDescent="0.3">
      <c r="A269" s="538"/>
      <c r="B269" s="56" t="s">
        <v>26</v>
      </c>
      <c r="C269" s="57" t="s">
        <v>10</v>
      </c>
      <c r="D269" s="57" t="s">
        <v>11</v>
      </c>
      <c r="E269" s="210"/>
      <c r="F269" s="108"/>
      <c r="G269" s="108"/>
      <c r="H269" s="59"/>
      <c r="I269" s="59"/>
      <c r="J269" s="59"/>
      <c r="K269" s="59"/>
      <c r="L269" s="59"/>
      <c r="M269" s="59"/>
      <c r="N269" s="59"/>
      <c r="O269" s="59"/>
      <c r="P269" s="59"/>
      <c r="Q269" s="59">
        <f>SUM(Tablo2[[#This Row],[Ocak]:[Aralık]])</f>
        <v>0</v>
      </c>
    </row>
    <row r="270" spans="1:17" x14ac:dyDescent="0.3">
      <c r="A270" s="538"/>
      <c r="B270" s="56" t="s">
        <v>26</v>
      </c>
      <c r="C270" s="57" t="s">
        <v>10</v>
      </c>
      <c r="D270" s="57" t="s">
        <v>15</v>
      </c>
      <c r="E270" s="210"/>
      <c r="F270" s="108"/>
      <c r="G270" s="108"/>
      <c r="H270" s="59"/>
      <c r="I270" s="59"/>
      <c r="J270" s="59"/>
      <c r="K270" s="59"/>
      <c r="L270" s="59">
        <v>50</v>
      </c>
      <c r="M270" s="59"/>
      <c r="N270" s="59"/>
      <c r="O270" s="59"/>
      <c r="P270" s="59"/>
      <c r="Q270" s="59">
        <f>SUM(Tablo2[[#This Row],[Ocak]:[Aralık]])</f>
        <v>50</v>
      </c>
    </row>
    <row r="271" spans="1:17" x14ac:dyDescent="0.3">
      <c r="A271" s="538"/>
      <c r="B271" s="56" t="s">
        <v>26</v>
      </c>
      <c r="C271" s="57" t="s">
        <v>10</v>
      </c>
      <c r="D271" s="57" t="s">
        <v>19</v>
      </c>
      <c r="E271" s="210"/>
      <c r="F271" s="108"/>
      <c r="G271" s="108"/>
      <c r="H271" s="59"/>
      <c r="I271" s="59"/>
      <c r="J271" s="59"/>
      <c r="K271" s="59"/>
      <c r="L271" s="59"/>
      <c r="M271" s="59"/>
      <c r="N271" s="59"/>
      <c r="O271" s="59"/>
      <c r="P271" s="59"/>
      <c r="Q271" s="59">
        <f>SUM(Tablo2[[#This Row],[Ocak]:[Aralık]])</f>
        <v>0</v>
      </c>
    </row>
    <row r="272" spans="1:17" x14ac:dyDescent="0.3">
      <c r="A272" s="538"/>
      <c r="B272" s="56" t="s">
        <v>26</v>
      </c>
      <c r="C272" s="57" t="s">
        <v>10</v>
      </c>
      <c r="D272" s="57" t="s">
        <v>22</v>
      </c>
      <c r="E272" s="210"/>
      <c r="F272" s="108"/>
      <c r="G272" s="108"/>
      <c r="H272" s="59"/>
      <c r="I272" s="59"/>
      <c r="J272" s="59"/>
      <c r="K272" s="59"/>
      <c r="L272" s="59"/>
      <c r="M272" s="59"/>
      <c r="N272" s="59"/>
      <c r="O272" s="59"/>
      <c r="P272" s="59"/>
      <c r="Q272" s="59">
        <f>SUM(Tablo2[[#This Row],[Ocak]:[Aralık]])</f>
        <v>0</v>
      </c>
    </row>
    <row r="273" spans="1:22" x14ac:dyDescent="0.3">
      <c r="A273" s="538"/>
      <c r="B273" s="56" t="s">
        <v>26</v>
      </c>
      <c r="C273" s="57" t="s">
        <v>10</v>
      </c>
      <c r="D273" s="57" t="s">
        <v>25</v>
      </c>
      <c r="E273" s="210"/>
      <c r="F273" s="108"/>
      <c r="G273" s="108"/>
      <c r="H273" s="59"/>
      <c r="I273" s="59"/>
      <c r="J273" s="59"/>
      <c r="K273" s="59"/>
      <c r="L273" s="59"/>
      <c r="M273" s="59"/>
      <c r="N273" s="59"/>
      <c r="O273" s="59"/>
      <c r="P273" s="59"/>
      <c r="Q273" s="59">
        <f>SUM(Tablo2[[#This Row],[Ocak]:[Aralık]])</f>
        <v>0</v>
      </c>
    </row>
    <row r="274" spans="1:22" x14ac:dyDescent="0.3">
      <c r="A274" s="538"/>
      <c r="B274" s="56" t="s">
        <v>26</v>
      </c>
      <c r="C274" s="57" t="s">
        <v>10</v>
      </c>
      <c r="D274" s="57" t="s">
        <v>28</v>
      </c>
      <c r="E274" s="210"/>
      <c r="F274" s="108"/>
      <c r="G274" s="108"/>
      <c r="H274" s="59"/>
      <c r="I274" s="59"/>
      <c r="J274" s="59"/>
      <c r="K274" s="59"/>
      <c r="L274" s="59"/>
      <c r="M274" s="59"/>
      <c r="N274" s="59"/>
      <c r="O274" s="59"/>
      <c r="P274" s="59"/>
      <c r="Q274" s="59">
        <f>SUM(Tablo2[[#This Row],[Ocak]:[Aralık]])</f>
        <v>0</v>
      </c>
    </row>
    <row r="275" spans="1:22" x14ac:dyDescent="0.3">
      <c r="A275" s="538"/>
      <c r="B275" s="56" t="s">
        <v>26</v>
      </c>
      <c r="C275" s="57" t="s">
        <v>10</v>
      </c>
      <c r="D275" s="57" t="s">
        <v>31</v>
      </c>
      <c r="E275" s="210"/>
      <c r="F275" s="108"/>
      <c r="G275" s="108"/>
      <c r="H275" s="59"/>
      <c r="I275" s="59"/>
      <c r="J275" s="59"/>
      <c r="K275" s="59"/>
      <c r="L275" s="59"/>
      <c r="M275" s="59"/>
      <c r="N275" s="59"/>
      <c r="O275" s="59"/>
      <c r="P275" s="59"/>
      <c r="Q275" s="59">
        <f>SUM(Tablo2[[#This Row],[Ocak]:[Aralık]])</f>
        <v>0</v>
      </c>
    </row>
    <row r="276" spans="1:22" x14ac:dyDescent="0.3">
      <c r="A276" s="538"/>
      <c r="B276" s="56" t="s">
        <v>26</v>
      </c>
      <c r="C276" s="57" t="s">
        <v>10</v>
      </c>
      <c r="D276" s="57" t="s">
        <v>34</v>
      </c>
      <c r="E276" s="210"/>
      <c r="F276" s="108"/>
      <c r="G276" s="108"/>
      <c r="H276" s="59"/>
      <c r="I276" s="59"/>
      <c r="J276" s="59"/>
      <c r="K276" s="59"/>
      <c r="L276" s="59"/>
      <c r="M276" s="59"/>
      <c r="N276" s="59"/>
      <c r="O276" s="59"/>
      <c r="P276" s="59"/>
      <c r="Q276" s="59">
        <f>SUM(Tablo2[[#This Row],[Ocak]:[Aralık]])</f>
        <v>0</v>
      </c>
    </row>
    <row r="277" spans="1:22" x14ac:dyDescent="0.3">
      <c r="A277" s="538"/>
      <c r="B277" s="56" t="s">
        <v>26</v>
      </c>
      <c r="C277" s="57" t="s">
        <v>10</v>
      </c>
      <c r="D277" s="57" t="s">
        <v>37</v>
      </c>
      <c r="E277" s="210"/>
      <c r="F277" s="108"/>
      <c r="G277" s="108"/>
      <c r="H277" s="59"/>
      <c r="I277" s="59"/>
      <c r="J277" s="59"/>
      <c r="K277" s="59"/>
      <c r="L277" s="59"/>
      <c r="M277" s="59"/>
      <c r="N277" s="59"/>
      <c r="O277" s="59"/>
      <c r="P277" s="59"/>
      <c r="Q277" s="59">
        <f>SUM(Tablo2[[#This Row],[Ocak]:[Aralık]])</f>
        <v>0</v>
      </c>
    </row>
    <row r="278" spans="1:22" x14ac:dyDescent="0.3">
      <c r="A278" s="538"/>
      <c r="B278" s="56" t="s">
        <v>26</v>
      </c>
      <c r="C278" s="57" t="s">
        <v>10</v>
      </c>
      <c r="D278" s="57" t="s">
        <v>39</v>
      </c>
      <c r="E278" s="210"/>
      <c r="F278" s="108"/>
      <c r="G278" s="108"/>
      <c r="H278" s="59"/>
      <c r="I278" s="59"/>
      <c r="J278" s="59"/>
      <c r="K278" s="59"/>
      <c r="L278" s="59"/>
      <c r="M278" s="59"/>
      <c r="N278" s="59"/>
      <c r="O278" s="59"/>
      <c r="P278" s="59"/>
      <c r="Q278" s="59">
        <f>SUM(Tablo2[[#This Row],[Ocak]:[Aralık]])</f>
        <v>0</v>
      </c>
    </row>
    <row r="279" spans="1:22" x14ac:dyDescent="0.3">
      <c r="A279" s="538"/>
      <c r="B279" s="56" t="s">
        <v>26</v>
      </c>
      <c r="C279" s="57" t="s">
        <v>10</v>
      </c>
      <c r="D279" s="57" t="s">
        <v>42</v>
      </c>
      <c r="E279" s="210"/>
      <c r="F279" s="108"/>
      <c r="G279" s="108"/>
      <c r="H279" s="59"/>
      <c r="I279" s="59"/>
      <c r="J279" s="59"/>
      <c r="K279" s="59"/>
      <c r="L279" s="59"/>
      <c r="M279" s="59"/>
      <c r="N279" s="59"/>
      <c r="O279" s="59"/>
      <c r="P279" s="59"/>
      <c r="Q279" s="59">
        <f>SUM(Tablo2[[#This Row],[Ocak]:[Aralık]])</f>
        <v>0</v>
      </c>
    </row>
    <row r="280" spans="1:22" x14ac:dyDescent="0.3">
      <c r="A280" s="538"/>
      <c r="B280" s="56" t="s">
        <v>26</v>
      </c>
      <c r="C280" s="57" t="s">
        <v>10</v>
      </c>
      <c r="D280" s="57" t="s">
        <v>45</v>
      </c>
      <c r="E280" s="210"/>
      <c r="F280" s="108"/>
      <c r="G280" s="108"/>
      <c r="H280" s="59"/>
      <c r="I280" s="59"/>
      <c r="J280" s="59"/>
      <c r="K280" s="59"/>
      <c r="L280" s="59"/>
      <c r="M280" s="59"/>
      <c r="N280" s="59"/>
      <c r="O280" s="59"/>
      <c r="P280" s="59"/>
      <c r="Q280" s="59">
        <f>SUM(Tablo2[[#This Row],[Ocak]:[Aralık]])</f>
        <v>0</v>
      </c>
    </row>
    <row r="281" spans="1:22" x14ac:dyDescent="0.3">
      <c r="A281" s="538"/>
      <c r="B281" s="56" t="s">
        <v>26</v>
      </c>
      <c r="C281" s="57" t="s">
        <v>10</v>
      </c>
      <c r="D281" s="57" t="s">
        <v>48</v>
      </c>
      <c r="E281" s="210"/>
      <c r="F281" s="108"/>
      <c r="G281" s="108"/>
      <c r="H281" s="59"/>
      <c r="I281" s="59"/>
      <c r="J281" s="59"/>
      <c r="K281" s="59"/>
      <c r="L281" s="59"/>
      <c r="M281" s="59"/>
      <c r="N281" s="59"/>
      <c r="O281" s="59"/>
      <c r="P281" s="59"/>
      <c r="Q281" s="59">
        <f>SUM(Tablo2[[#This Row],[Ocak]:[Aralık]])</f>
        <v>0</v>
      </c>
    </row>
    <row r="282" spans="1:22" x14ac:dyDescent="0.25">
      <c r="A282" s="538"/>
      <c r="B282" s="56" t="s">
        <v>26</v>
      </c>
      <c r="C282" s="57" t="s">
        <v>10</v>
      </c>
      <c r="D282" s="57" t="s">
        <v>50</v>
      </c>
      <c r="E282" s="210">
        <v>835</v>
      </c>
      <c r="F282" s="108">
        <v>1090</v>
      </c>
      <c r="G282" s="108">
        <v>705</v>
      </c>
      <c r="H282" s="59"/>
      <c r="I282" s="59"/>
      <c r="J282" s="59"/>
      <c r="K282" s="59"/>
      <c r="L282" s="59">
        <v>120</v>
      </c>
      <c r="M282" s="59"/>
      <c r="N282" s="59"/>
      <c r="O282" s="59"/>
      <c r="P282" s="59"/>
      <c r="Q282" s="59">
        <f>SUM(Tablo2[[#This Row],[Ocak]:[Aralık]])</f>
        <v>2750</v>
      </c>
      <c r="T282" s="445"/>
      <c r="U282" s="447"/>
      <c r="V282" s="446"/>
    </row>
    <row r="283" spans="1:22" x14ac:dyDescent="0.25">
      <c r="A283" s="54">
        <v>5</v>
      </c>
      <c r="B283" s="56" t="s">
        <v>26</v>
      </c>
      <c r="C283" s="57" t="s">
        <v>14</v>
      </c>
      <c r="D283" s="57"/>
      <c r="E283" s="210"/>
      <c r="F283" s="108">
        <v>270</v>
      </c>
      <c r="G283" s="108"/>
      <c r="H283" s="59">
        <v>1000</v>
      </c>
      <c r="I283" s="380">
        <v>760</v>
      </c>
      <c r="J283" s="59">
        <v>1060</v>
      </c>
      <c r="K283" s="59">
        <v>690</v>
      </c>
      <c r="L283" s="400">
        <v>262</v>
      </c>
      <c r="M283" s="59">
        <v>155</v>
      </c>
      <c r="N283" s="59"/>
      <c r="O283" s="59"/>
      <c r="P283" s="59"/>
      <c r="Q283" s="59">
        <f>SUM(Tablo2[[#This Row],[Ocak]:[Aralık]])</f>
        <v>4197</v>
      </c>
      <c r="T283" s="445"/>
      <c r="U283" s="447"/>
      <c r="V283" s="446"/>
    </row>
    <row r="284" spans="1:22" x14ac:dyDescent="0.25">
      <c r="A284" s="54">
        <v>6</v>
      </c>
      <c r="B284" s="56" t="s">
        <v>26</v>
      </c>
      <c r="C284" s="57" t="s">
        <v>18</v>
      </c>
      <c r="D284" s="57"/>
      <c r="E284" s="210">
        <v>75</v>
      </c>
      <c r="F284" s="108">
        <v>4155</v>
      </c>
      <c r="G284" s="108">
        <v>360</v>
      </c>
      <c r="H284" s="59"/>
      <c r="I284" s="59"/>
      <c r="J284" s="59"/>
      <c r="K284" s="59"/>
      <c r="L284" s="400">
        <v>70</v>
      </c>
      <c r="M284" s="59">
        <v>75</v>
      </c>
      <c r="N284" s="59"/>
      <c r="O284" s="59"/>
      <c r="P284" s="59"/>
      <c r="Q284" s="59">
        <f>SUM(Tablo2[[#This Row],[Ocak]:[Aralık]])</f>
        <v>4735</v>
      </c>
      <c r="T284" s="449" t="s">
        <v>1049</v>
      </c>
      <c r="U284" s="370" t="s">
        <v>14</v>
      </c>
      <c r="V284" s="419">
        <v>690</v>
      </c>
    </row>
    <row r="285" spans="1:22" x14ac:dyDescent="0.25">
      <c r="A285" s="54">
        <v>7</v>
      </c>
      <c r="B285" s="56" t="s">
        <v>26</v>
      </c>
      <c r="C285" s="57" t="s">
        <v>21</v>
      </c>
      <c r="D285" s="57"/>
      <c r="E285" s="210">
        <v>3400</v>
      </c>
      <c r="F285" s="108">
        <v>350</v>
      </c>
      <c r="G285" s="108">
        <v>5315</v>
      </c>
      <c r="H285" s="59">
        <v>215</v>
      </c>
      <c r="I285" s="380">
        <v>30</v>
      </c>
      <c r="J285" s="59">
        <v>145</v>
      </c>
      <c r="K285" s="59"/>
      <c r="L285" s="400">
        <v>300</v>
      </c>
      <c r="M285" s="59">
        <v>330</v>
      </c>
      <c r="N285" s="59"/>
      <c r="O285" s="59"/>
      <c r="P285" s="59"/>
      <c r="Q285" s="59">
        <f>SUM(Tablo2[[#This Row],[Ocak]:[Aralık]])</f>
        <v>10085</v>
      </c>
      <c r="T285" s="449" t="s">
        <v>1060</v>
      </c>
      <c r="U285" s="370" t="s">
        <v>24</v>
      </c>
      <c r="V285" s="419">
        <v>3532</v>
      </c>
    </row>
    <row r="286" spans="1:22" x14ac:dyDescent="0.25">
      <c r="A286" s="54">
        <v>8</v>
      </c>
      <c r="B286" s="56" t="s">
        <v>26</v>
      </c>
      <c r="C286" s="57" t="s">
        <v>24</v>
      </c>
      <c r="D286" s="57"/>
      <c r="E286" s="210">
        <v>280</v>
      </c>
      <c r="F286" s="108"/>
      <c r="G286" s="108">
        <v>470</v>
      </c>
      <c r="H286" s="59">
        <v>4660</v>
      </c>
      <c r="I286" s="380">
        <v>4095</v>
      </c>
      <c r="J286" s="59">
        <v>6295</v>
      </c>
      <c r="K286" s="59">
        <v>3532</v>
      </c>
      <c r="L286" s="400">
        <v>4785</v>
      </c>
      <c r="M286" s="59">
        <v>3967</v>
      </c>
      <c r="N286" s="59"/>
      <c r="O286" s="59"/>
      <c r="P286" s="59"/>
      <c r="Q286" s="59">
        <f>SUM(Tablo2[[#This Row],[Ocak]:[Aralık]])</f>
        <v>28084</v>
      </c>
      <c r="T286" s="449" t="s">
        <v>1055</v>
      </c>
      <c r="U286" s="370" t="s">
        <v>27</v>
      </c>
      <c r="V286" s="419">
        <v>285</v>
      </c>
    </row>
    <row r="287" spans="1:22" x14ac:dyDescent="0.25">
      <c r="A287" s="54">
        <v>9</v>
      </c>
      <c r="B287" s="56" t="s">
        <v>26</v>
      </c>
      <c r="C287" s="57" t="s">
        <v>27</v>
      </c>
      <c r="D287" s="57"/>
      <c r="E287" s="210">
        <v>120</v>
      </c>
      <c r="F287" s="108">
        <v>40</v>
      </c>
      <c r="G287" s="108">
        <v>90</v>
      </c>
      <c r="H287" s="59">
        <v>485</v>
      </c>
      <c r="I287" s="380">
        <v>345</v>
      </c>
      <c r="J287" s="59">
        <v>365</v>
      </c>
      <c r="K287" s="59">
        <v>285</v>
      </c>
      <c r="L287" s="400">
        <v>100</v>
      </c>
      <c r="M287" s="59">
        <v>20</v>
      </c>
      <c r="N287" s="59"/>
      <c r="O287" s="59"/>
      <c r="P287" s="59"/>
      <c r="Q287" s="59">
        <f>SUM(Tablo2[[#This Row],[Ocak]:[Aralık]])</f>
        <v>1850</v>
      </c>
      <c r="T287" s="449" t="s">
        <v>1061</v>
      </c>
      <c r="U287" s="370" t="s">
        <v>33</v>
      </c>
      <c r="V287" s="419">
        <v>475</v>
      </c>
    </row>
    <row r="288" spans="1:22" x14ac:dyDescent="0.25">
      <c r="A288" s="54">
        <v>10</v>
      </c>
      <c r="B288" s="56" t="s">
        <v>26</v>
      </c>
      <c r="C288" s="57" t="s">
        <v>30</v>
      </c>
      <c r="D288" s="57"/>
      <c r="E288" s="210">
        <v>475</v>
      </c>
      <c r="F288" s="108">
        <v>440</v>
      </c>
      <c r="G288" s="108">
        <v>235</v>
      </c>
      <c r="H288" s="59"/>
      <c r="I288" s="59"/>
      <c r="J288" s="59">
        <v>90</v>
      </c>
      <c r="K288" s="59"/>
      <c r="L288" s="400">
        <v>330</v>
      </c>
      <c r="M288" s="59"/>
      <c r="N288" s="59"/>
      <c r="O288" s="59"/>
      <c r="P288" s="59"/>
      <c r="Q288" s="59">
        <f>SUM(Tablo2[[#This Row],[Ocak]:[Aralık]])</f>
        <v>1570</v>
      </c>
      <c r="T288" s="449" t="s">
        <v>1058</v>
      </c>
      <c r="U288" s="370" t="s">
        <v>36</v>
      </c>
      <c r="V288" s="419">
        <v>495</v>
      </c>
    </row>
    <row r="289" spans="1:22" x14ac:dyDescent="0.25">
      <c r="A289" s="54">
        <v>11</v>
      </c>
      <c r="B289" s="56" t="s">
        <v>26</v>
      </c>
      <c r="C289" s="57" t="s">
        <v>33</v>
      </c>
      <c r="D289" s="57"/>
      <c r="E289" s="210">
        <v>450</v>
      </c>
      <c r="F289" s="108">
        <v>405</v>
      </c>
      <c r="G289" s="108">
        <v>470</v>
      </c>
      <c r="H289" s="59">
        <v>200</v>
      </c>
      <c r="I289" s="380">
        <v>1135</v>
      </c>
      <c r="J289" s="59">
        <v>955</v>
      </c>
      <c r="K289" s="59">
        <v>475</v>
      </c>
      <c r="L289" s="400">
        <v>395</v>
      </c>
      <c r="M289" s="59">
        <v>290</v>
      </c>
      <c r="N289" s="59"/>
      <c r="O289" s="59"/>
      <c r="P289" s="59"/>
      <c r="Q289" s="59">
        <f>SUM(Tablo2[[#This Row],[Ocak]:[Aralık]])</f>
        <v>4775</v>
      </c>
      <c r="T289" s="449" t="s">
        <v>1059</v>
      </c>
      <c r="U289" s="370" t="s">
        <v>38</v>
      </c>
      <c r="V289" s="419">
        <v>140</v>
      </c>
    </row>
    <row r="290" spans="1:22" x14ac:dyDescent="0.25">
      <c r="A290" s="54">
        <v>12</v>
      </c>
      <c r="B290" s="56" t="s">
        <v>26</v>
      </c>
      <c r="C290" s="57" t="s">
        <v>36</v>
      </c>
      <c r="D290" s="57"/>
      <c r="E290" s="210">
        <v>130</v>
      </c>
      <c r="F290" s="108">
        <v>640</v>
      </c>
      <c r="G290" s="108">
        <v>855</v>
      </c>
      <c r="H290" s="59">
        <v>980</v>
      </c>
      <c r="I290" s="380">
        <v>480</v>
      </c>
      <c r="J290" s="59">
        <v>400</v>
      </c>
      <c r="K290" s="59">
        <v>495</v>
      </c>
      <c r="L290" s="400">
        <v>1140</v>
      </c>
      <c r="M290" s="59">
        <v>1505</v>
      </c>
      <c r="N290" s="59"/>
      <c r="O290" s="59"/>
      <c r="P290" s="59"/>
      <c r="Q290" s="59">
        <f>SUM(Tablo2[[#This Row],[Ocak]:[Aralık]])</f>
        <v>6625</v>
      </c>
      <c r="T290" s="449" t="s">
        <v>1050</v>
      </c>
      <c r="U290" s="370" t="s">
        <v>44</v>
      </c>
      <c r="V290" s="419">
        <v>1160</v>
      </c>
    </row>
    <row r="291" spans="1:22" x14ac:dyDescent="0.25">
      <c r="A291" s="54">
        <v>13</v>
      </c>
      <c r="B291" s="56" t="s">
        <v>26</v>
      </c>
      <c r="C291" s="57" t="s">
        <v>38</v>
      </c>
      <c r="D291" s="57"/>
      <c r="E291" s="210"/>
      <c r="F291" s="108"/>
      <c r="G291" s="108"/>
      <c r="H291" s="59">
        <v>845</v>
      </c>
      <c r="I291" s="380">
        <v>320</v>
      </c>
      <c r="J291" s="59">
        <v>315</v>
      </c>
      <c r="K291" s="59">
        <v>140</v>
      </c>
      <c r="L291" s="400">
        <v>40</v>
      </c>
      <c r="M291" s="59">
        <v>60</v>
      </c>
      <c r="N291" s="59"/>
      <c r="O291" s="59"/>
      <c r="P291" s="59"/>
      <c r="Q291" s="59">
        <f>SUM(Tablo2[[#This Row],[Ocak]:[Aralık]])</f>
        <v>1720</v>
      </c>
      <c r="T291" s="449" t="s">
        <v>1062</v>
      </c>
      <c r="U291" s="370" t="s">
        <v>47</v>
      </c>
      <c r="V291" s="419">
        <v>2111</v>
      </c>
    </row>
    <row r="292" spans="1:22" x14ac:dyDescent="0.25">
      <c r="A292" s="54">
        <v>14</v>
      </c>
      <c r="B292" s="56" t="s">
        <v>26</v>
      </c>
      <c r="C292" s="57" t="s">
        <v>41</v>
      </c>
      <c r="D292" s="57"/>
      <c r="E292" s="210">
        <v>890</v>
      </c>
      <c r="F292" s="108">
        <v>1325</v>
      </c>
      <c r="G292" s="108">
        <v>1160</v>
      </c>
      <c r="H292" s="59"/>
      <c r="I292" s="59"/>
      <c r="J292" s="59"/>
      <c r="K292" s="59"/>
      <c r="L292" s="400"/>
      <c r="M292" s="59"/>
      <c r="N292" s="59"/>
      <c r="O292" s="59"/>
      <c r="P292" s="59"/>
      <c r="Q292" s="59">
        <f>SUM(Tablo2[[#This Row],[Ocak]:[Aralık]])</f>
        <v>3375</v>
      </c>
      <c r="T292" s="449" t="s">
        <v>1051</v>
      </c>
      <c r="U292" s="370" t="s">
        <v>49</v>
      </c>
      <c r="V292" s="419">
        <v>385</v>
      </c>
    </row>
    <row r="293" spans="1:22" x14ac:dyDescent="0.25">
      <c r="A293" s="54">
        <v>15</v>
      </c>
      <c r="B293" s="56" t="s">
        <v>26</v>
      </c>
      <c r="C293" s="57" t="s">
        <v>44</v>
      </c>
      <c r="D293" s="57"/>
      <c r="E293" s="210">
        <v>600</v>
      </c>
      <c r="F293" s="108">
        <v>850</v>
      </c>
      <c r="G293" s="108">
        <v>993</v>
      </c>
      <c r="H293" s="59">
        <v>1740</v>
      </c>
      <c r="I293" s="380">
        <v>650</v>
      </c>
      <c r="J293" s="59">
        <v>1225</v>
      </c>
      <c r="K293" s="59">
        <v>1160</v>
      </c>
      <c r="L293" s="400">
        <v>860</v>
      </c>
      <c r="M293" s="59">
        <v>755</v>
      </c>
      <c r="N293" s="59"/>
      <c r="O293" s="59"/>
      <c r="P293" s="59"/>
      <c r="Q293" s="59">
        <f>SUM(Tablo2[[#This Row],[Ocak]:[Aralık]])</f>
        <v>8833</v>
      </c>
      <c r="T293" s="449" t="s">
        <v>1052</v>
      </c>
      <c r="U293" s="370" t="s">
        <v>55</v>
      </c>
      <c r="V293" s="419">
        <v>12570</v>
      </c>
    </row>
    <row r="294" spans="1:22" x14ac:dyDescent="0.25">
      <c r="A294" s="54">
        <v>16</v>
      </c>
      <c r="B294" s="56" t="s">
        <v>26</v>
      </c>
      <c r="C294" s="57" t="s">
        <v>47</v>
      </c>
      <c r="D294" s="57"/>
      <c r="E294" s="210">
        <v>483</v>
      </c>
      <c r="F294" s="108">
        <v>485</v>
      </c>
      <c r="G294" s="108">
        <v>640</v>
      </c>
      <c r="H294" s="59">
        <v>1810</v>
      </c>
      <c r="I294" s="380">
        <v>1058</v>
      </c>
      <c r="J294" s="59">
        <v>3144</v>
      </c>
      <c r="K294" s="59">
        <v>2111</v>
      </c>
      <c r="L294" s="400">
        <v>1680</v>
      </c>
      <c r="M294" s="59">
        <v>2108</v>
      </c>
      <c r="N294" s="59"/>
      <c r="O294" s="59"/>
      <c r="P294" s="59"/>
      <c r="Q294" s="59">
        <f>SUM(Tablo2[[#This Row],[Ocak]:[Aralık]])</f>
        <v>13519</v>
      </c>
      <c r="T294" s="449" t="s">
        <v>1057</v>
      </c>
      <c r="U294" s="370" t="s">
        <v>1056</v>
      </c>
      <c r="V294" s="419">
        <v>1010</v>
      </c>
    </row>
    <row r="295" spans="1:22" x14ac:dyDescent="0.25">
      <c r="A295" s="54">
        <v>17</v>
      </c>
      <c r="B295" s="56" t="s">
        <v>26</v>
      </c>
      <c r="C295" s="57" t="s">
        <v>49</v>
      </c>
      <c r="D295" s="57"/>
      <c r="E295" s="210"/>
      <c r="F295" s="108"/>
      <c r="G295" s="108"/>
      <c r="H295" s="59">
        <v>600</v>
      </c>
      <c r="I295" s="380">
        <v>309</v>
      </c>
      <c r="J295" s="59">
        <v>276</v>
      </c>
      <c r="K295" s="59">
        <v>385</v>
      </c>
      <c r="L295" s="400">
        <v>226</v>
      </c>
      <c r="M295" s="59">
        <v>295</v>
      </c>
      <c r="N295" s="59"/>
      <c r="O295" s="59"/>
      <c r="P295" s="59"/>
      <c r="Q295" s="59">
        <f>SUM(Tablo2[[#This Row],[Ocak]:[Aralık]])</f>
        <v>2091</v>
      </c>
    </row>
    <row r="296" spans="1:22" x14ac:dyDescent="0.3">
      <c r="A296" s="54">
        <v>18</v>
      </c>
      <c r="B296" s="56" t="s">
        <v>26</v>
      </c>
      <c r="C296" s="57" t="s">
        <v>51</v>
      </c>
      <c r="D296" s="57"/>
      <c r="E296" s="210">
        <v>180</v>
      </c>
      <c r="F296" s="108"/>
      <c r="G296" s="108"/>
      <c r="H296" s="59"/>
      <c r="I296" s="59"/>
      <c r="J296" s="59"/>
      <c r="K296" s="59"/>
      <c r="L296" s="400"/>
      <c r="M296" s="59"/>
      <c r="N296" s="59"/>
      <c r="O296" s="59"/>
      <c r="P296" s="59"/>
      <c r="Q296" s="59">
        <f>SUM(Tablo2[[#This Row],[Ocak]:[Aralık]])</f>
        <v>180</v>
      </c>
    </row>
    <row r="297" spans="1:22" x14ac:dyDescent="0.3">
      <c r="A297" s="54">
        <v>19</v>
      </c>
      <c r="B297" s="56" t="s">
        <v>26</v>
      </c>
      <c r="C297" s="57" t="s">
        <v>52</v>
      </c>
      <c r="D297" s="57"/>
      <c r="E297" s="210"/>
      <c r="F297" s="108"/>
      <c r="G297" s="108"/>
      <c r="H297" s="59"/>
      <c r="I297" s="59"/>
      <c r="J297" s="59"/>
      <c r="K297" s="59"/>
      <c r="L297" s="400"/>
      <c r="M297" s="59"/>
      <c r="N297" s="59"/>
      <c r="O297" s="59"/>
      <c r="P297" s="59"/>
      <c r="Q297" s="59">
        <f>SUM(Tablo2[[#This Row],[Ocak]:[Aralık]])</f>
        <v>0</v>
      </c>
    </row>
    <row r="298" spans="1:22" x14ac:dyDescent="0.3">
      <c r="A298" s="54">
        <v>20</v>
      </c>
      <c r="B298" s="56" t="s">
        <v>26</v>
      </c>
      <c r="C298" s="57" t="s">
        <v>53</v>
      </c>
      <c r="D298" s="57"/>
      <c r="E298" s="210"/>
      <c r="F298" s="108"/>
      <c r="G298" s="108">
        <v>120</v>
      </c>
      <c r="H298" s="59">
        <v>15</v>
      </c>
      <c r="I298" s="59"/>
      <c r="J298" s="59"/>
      <c r="K298" s="59"/>
      <c r="L298" s="400">
        <v>450</v>
      </c>
      <c r="M298" s="59"/>
      <c r="N298" s="59"/>
      <c r="O298" s="59"/>
      <c r="P298" s="59"/>
      <c r="Q298" s="59">
        <f>SUM(Tablo2[[#This Row],[Ocak]:[Aralık]])</f>
        <v>585</v>
      </c>
    </row>
    <row r="299" spans="1:22" x14ac:dyDescent="0.3">
      <c r="A299" s="54">
        <v>21</v>
      </c>
      <c r="B299" s="56" t="s">
        <v>26</v>
      </c>
      <c r="C299" s="57" t="s">
        <v>54</v>
      </c>
      <c r="D299" s="57"/>
      <c r="E299" s="210">
        <v>1465</v>
      </c>
      <c r="F299" s="108">
        <v>1325</v>
      </c>
      <c r="G299" s="108">
        <v>2190</v>
      </c>
      <c r="H299" s="59"/>
      <c r="I299" s="59"/>
      <c r="J299" s="59"/>
      <c r="K299" s="59"/>
      <c r="L299" s="400"/>
      <c r="M299" s="59"/>
      <c r="N299" s="59"/>
      <c r="O299" s="59"/>
      <c r="P299" s="59"/>
      <c r="Q299" s="59">
        <f>SUM(Tablo2[[#This Row],[Ocak]:[Aralık]])</f>
        <v>4980</v>
      </c>
    </row>
    <row r="300" spans="1:22" x14ac:dyDescent="0.25">
      <c r="A300" s="54">
        <v>22</v>
      </c>
      <c r="B300" s="56" t="s">
        <v>26</v>
      </c>
      <c r="C300" s="57" t="s">
        <v>55</v>
      </c>
      <c r="D300" s="57"/>
      <c r="E300" s="210"/>
      <c r="F300" s="108"/>
      <c r="G300" s="108">
        <v>30</v>
      </c>
      <c r="H300" s="59">
        <v>2505</v>
      </c>
      <c r="I300" s="380">
        <v>16760</v>
      </c>
      <c r="J300" s="59">
        <v>2320</v>
      </c>
      <c r="K300" s="59">
        <v>12570</v>
      </c>
      <c r="L300" s="400">
        <v>460</v>
      </c>
      <c r="M300" s="59">
        <v>375</v>
      </c>
      <c r="N300" s="59"/>
      <c r="O300" s="59"/>
      <c r="P300" s="59"/>
      <c r="Q300" s="59">
        <f>SUM(Tablo2[[#This Row],[Ocak]:[Aralık]])</f>
        <v>35020</v>
      </c>
    </row>
    <row r="301" spans="1:22" x14ac:dyDescent="0.3">
      <c r="A301" s="54">
        <v>23</v>
      </c>
      <c r="B301" s="56" t="s">
        <v>26</v>
      </c>
      <c r="C301" s="57" t="s">
        <v>56</v>
      </c>
      <c r="D301" s="57"/>
      <c r="E301" s="210">
        <v>15</v>
      </c>
      <c r="F301" s="108">
        <v>30</v>
      </c>
      <c r="G301" s="108">
        <v>110</v>
      </c>
      <c r="H301" s="59"/>
      <c r="I301" s="59"/>
      <c r="J301" s="59"/>
      <c r="K301" s="59"/>
      <c r="L301" s="400"/>
      <c r="M301" s="59"/>
      <c r="N301" s="59"/>
      <c r="O301" s="59"/>
      <c r="P301" s="59"/>
      <c r="Q301" s="59">
        <f>SUM(Tablo2[[#This Row],[Ocak]:[Aralık]])</f>
        <v>155</v>
      </c>
    </row>
    <row r="302" spans="1:22" x14ac:dyDescent="0.25">
      <c r="A302" s="54">
        <v>24</v>
      </c>
      <c r="B302" s="56" t="s">
        <v>26</v>
      </c>
      <c r="C302" s="57" t="s">
        <v>57</v>
      </c>
      <c r="D302" s="57"/>
      <c r="E302" s="210"/>
      <c r="F302" s="108"/>
      <c r="G302" s="108"/>
      <c r="H302" s="59">
        <v>270</v>
      </c>
      <c r="I302" s="380">
        <v>20</v>
      </c>
      <c r="J302" s="59">
        <v>690</v>
      </c>
      <c r="K302" s="59">
        <v>1010</v>
      </c>
      <c r="L302" s="400">
        <v>200</v>
      </c>
      <c r="M302" s="59"/>
      <c r="N302" s="59"/>
      <c r="O302" s="59"/>
      <c r="P302" s="59"/>
      <c r="Q302" s="59">
        <f>SUM(Tablo2[[#This Row],[Ocak]:[Aralık]])</f>
        <v>2190</v>
      </c>
    </row>
    <row r="303" spans="1:22" x14ac:dyDescent="0.3">
      <c r="A303" s="538">
        <v>1</v>
      </c>
      <c r="B303" s="56" t="s">
        <v>17</v>
      </c>
      <c r="C303" s="57" t="s">
        <v>6</v>
      </c>
      <c r="D303" s="57" t="s">
        <v>7</v>
      </c>
      <c r="E303" s="210"/>
      <c r="F303" s="108"/>
      <c r="G303" s="108"/>
      <c r="H303" s="59"/>
      <c r="I303" s="59"/>
      <c r="J303" s="59"/>
      <c r="K303" s="59"/>
      <c r="L303" s="59"/>
      <c r="M303" s="59"/>
      <c r="N303" s="59"/>
      <c r="O303" s="59"/>
      <c r="P303" s="59"/>
      <c r="Q303" s="59">
        <f>SUM(Tablo2[[#This Row],[Ocak]:[Aralık]])</f>
        <v>0</v>
      </c>
    </row>
    <row r="304" spans="1:22" x14ac:dyDescent="0.3">
      <c r="A304" s="538"/>
      <c r="B304" s="56" t="s">
        <v>17</v>
      </c>
      <c r="C304" s="57" t="s">
        <v>6</v>
      </c>
      <c r="D304" s="57" t="s">
        <v>11</v>
      </c>
      <c r="E304" s="210">
        <v>180</v>
      </c>
      <c r="F304" s="108">
        <v>175</v>
      </c>
      <c r="G304" s="108"/>
      <c r="H304" s="59"/>
      <c r="I304" s="59"/>
      <c r="J304" s="59"/>
      <c r="K304" s="59"/>
      <c r="L304" s="59"/>
      <c r="M304" s="59"/>
      <c r="N304" s="59"/>
      <c r="O304" s="59"/>
      <c r="P304" s="59"/>
      <c r="Q304" s="59">
        <f>SUM(Tablo2[[#This Row],[Ocak]:[Aralık]])</f>
        <v>355</v>
      </c>
    </row>
    <row r="305" spans="1:17" x14ac:dyDescent="0.3">
      <c r="A305" s="538"/>
      <c r="B305" s="56" t="s">
        <v>17</v>
      </c>
      <c r="C305" s="57" t="s">
        <v>6</v>
      </c>
      <c r="D305" s="57" t="s">
        <v>15</v>
      </c>
      <c r="E305" s="210"/>
      <c r="F305" s="108"/>
      <c r="G305" s="108"/>
      <c r="H305" s="59"/>
      <c r="I305" s="59"/>
      <c r="J305" s="59"/>
      <c r="K305" s="59"/>
      <c r="L305" s="59"/>
      <c r="M305" s="59"/>
      <c r="N305" s="59"/>
      <c r="O305" s="59"/>
      <c r="P305" s="59"/>
      <c r="Q305" s="59">
        <f>SUM(Tablo2[[#This Row],[Ocak]:[Aralık]])</f>
        <v>0</v>
      </c>
    </row>
    <row r="306" spans="1:17" x14ac:dyDescent="0.3">
      <c r="A306" s="538"/>
      <c r="B306" s="56" t="s">
        <v>17</v>
      </c>
      <c r="C306" s="57" t="s">
        <v>6</v>
      </c>
      <c r="D306" s="57" t="s">
        <v>19</v>
      </c>
      <c r="E306" s="210"/>
      <c r="F306" s="108"/>
      <c r="G306" s="108"/>
      <c r="H306" s="59"/>
      <c r="I306" s="59"/>
      <c r="J306" s="59"/>
      <c r="K306" s="59"/>
      <c r="L306" s="59"/>
      <c r="M306" s="59"/>
      <c r="N306" s="59"/>
      <c r="O306" s="59"/>
      <c r="P306" s="59"/>
      <c r="Q306" s="59">
        <f>SUM(Tablo2[[#This Row],[Ocak]:[Aralık]])</f>
        <v>0</v>
      </c>
    </row>
    <row r="307" spans="1:17" x14ac:dyDescent="0.3">
      <c r="A307" s="538"/>
      <c r="B307" s="56" t="s">
        <v>17</v>
      </c>
      <c r="C307" s="57" t="s">
        <v>6</v>
      </c>
      <c r="D307" s="57" t="s">
        <v>22</v>
      </c>
      <c r="E307" s="210"/>
      <c r="F307" s="108"/>
      <c r="G307" s="108"/>
      <c r="H307" s="59"/>
      <c r="I307" s="59"/>
      <c r="J307" s="59"/>
      <c r="K307" s="59"/>
      <c r="L307" s="59"/>
      <c r="M307" s="59"/>
      <c r="N307" s="59"/>
      <c r="O307" s="59"/>
      <c r="P307" s="59"/>
      <c r="Q307" s="59">
        <f>SUM(Tablo2[[#This Row],[Ocak]:[Aralık]])</f>
        <v>0</v>
      </c>
    </row>
    <row r="308" spans="1:17" x14ac:dyDescent="0.3">
      <c r="A308" s="538"/>
      <c r="B308" s="56" t="s">
        <v>17</v>
      </c>
      <c r="C308" s="57" t="s">
        <v>6</v>
      </c>
      <c r="D308" s="57" t="s">
        <v>25</v>
      </c>
      <c r="E308" s="210"/>
      <c r="F308" s="108"/>
      <c r="G308" s="108"/>
      <c r="H308" s="59"/>
      <c r="I308" s="59"/>
      <c r="J308" s="59"/>
      <c r="K308" s="59"/>
      <c r="L308" s="59"/>
      <c r="M308" s="59"/>
      <c r="N308" s="59"/>
      <c r="O308" s="59"/>
      <c r="P308" s="59"/>
      <c r="Q308" s="59">
        <f>SUM(Tablo2[[#This Row],[Ocak]:[Aralık]])</f>
        <v>0</v>
      </c>
    </row>
    <row r="309" spans="1:17" x14ac:dyDescent="0.3">
      <c r="A309" s="538"/>
      <c r="B309" s="56" t="s">
        <v>17</v>
      </c>
      <c r="C309" s="57" t="s">
        <v>6</v>
      </c>
      <c r="D309" s="57" t="s">
        <v>28</v>
      </c>
      <c r="E309" s="210"/>
      <c r="F309" s="108"/>
      <c r="G309" s="108"/>
      <c r="H309" s="59"/>
      <c r="I309" s="59"/>
      <c r="J309" s="59"/>
      <c r="K309" s="59"/>
      <c r="L309" s="59"/>
      <c r="M309" s="59"/>
      <c r="N309" s="59"/>
      <c r="O309" s="59"/>
      <c r="P309" s="59"/>
      <c r="Q309" s="59">
        <f>SUM(Tablo2[[#This Row],[Ocak]:[Aralık]])</f>
        <v>0</v>
      </c>
    </row>
    <row r="310" spans="1:17" x14ac:dyDescent="0.3">
      <c r="A310" s="538"/>
      <c r="B310" s="56" t="s">
        <v>17</v>
      </c>
      <c r="C310" s="57" t="s">
        <v>6</v>
      </c>
      <c r="D310" s="57" t="s">
        <v>31</v>
      </c>
      <c r="E310" s="210"/>
      <c r="F310" s="108"/>
      <c r="G310" s="108"/>
      <c r="H310" s="59"/>
      <c r="I310" s="59"/>
      <c r="J310" s="59"/>
      <c r="K310" s="59"/>
      <c r="L310" s="59"/>
      <c r="M310" s="59"/>
      <c r="N310" s="59"/>
      <c r="O310" s="59"/>
      <c r="P310" s="59"/>
      <c r="Q310" s="59">
        <f>SUM(Tablo2[[#This Row],[Ocak]:[Aralık]])</f>
        <v>0</v>
      </c>
    </row>
    <row r="311" spans="1:17" x14ac:dyDescent="0.3">
      <c r="A311" s="538"/>
      <c r="B311" s="56" t="s">
        <v>17</v>
      </c>
      <c r="C311" s="57" t="s">
        <v>6</v>
      </c>
      <c r="D311" s="57" t="s">
        <v>34</v>
      </c>
      <c r="E311" s="210"/>
      <c r="F311" s="108"/>
      <c r="G311" s="108"/>
      <c r="H311" s="59"/>
      <c r="I311" s="59"/>
      <c r="J311" s="59"/>
      <c r="K311" s="59"/>
      <c r="L311" s="59"/>
      <c r="M311" s="59"/>
      <c r="N311" s="59"/>
      <c r="O311" s="59"/>
      <c r="P311" s="59"/>
      <c r="Q311" s="59">
        <f>SUM(Tablo2[[#This Row],[Ocak]:[Aralık]])</f>
        <v>0</v>
      </c>
    </row>
    <row r="312" spans="1:17" x14ac:dyDescent="0.3">
      <c r="A312" s="538"/>
      <c r="B312" s="56" t="s">
        <v>17</v>
      </c>
      <c r="C312" s="57" t="s">
        <v>6</v>
      </c>
      <c r="D312" s="57" t="s">
        <v>37</v>
      </c>
      <c r="E312" s="210"/>
      <c r="F312" s="108"/>
      <c r="G312" s="108"/>
      <c r="H312" s="59"/>
      <c r="I312" s="59"/>
      <c r="J312" s="59"/>
      <c r="K312" s="59"/>
      <c r="L312" s="59"/>
      <c r="M312" s="59"/>
      <c r="N312" s="59"/>
      <c r="O312" s="59"/>
      <c r="P312" s="59"/>
      <c r="Q312" s="59">
        <f>SUM(Tablo2[[#This Row],[Ocak]:[Aralık]])</f>
        <v>0</v>
      </c>
    </row>
    <row r="313" spans="1:17" x14ac:dyDescent="0.3">
      <c r="A313" s="538"/>
      <c r="B313" s="56" t="s">
        <v>17</v>
      </c>
      <c r="C313" s="57" t="s">
        <v>6</v>
      </c>
      <c r="D313" s="57" t="s">
        <v>39</v>
      </c>
      <c r="E313" s="210"/>
      <c r="F313" s="108"/>
      <c r="G313" s="108"/>
      <c r="H313" s="59"/>
      <c r="I313" s="59"/>
      <c r="J313" s="59"/>
      <c r="K313" s="59"/>
      <c r="L313" s="59"/>
      <c r="M313" s="59"/>
      <c r="N313" s="59"/>
      <c r="O313" s="59"/>
      <c r="P313" s="59"/>
      <c r="Q313" s="59">
        <f>SUM(Tablo2[[#This Row],[Ocak]:[Aralık]])</f>
        <v>0</v>
      </c>
    </row>
    <row r="314" spans="1:17" x14ac:dyDescent="0.3">
      <c r="A314" s="538"/>
      <c r="B314" s="56" t="s">
        <v>17</v>
      </c>
      <c r="C314" s="57" t="s">
        <v>6</v>
      </c>
      <c r="D314" s="57" t="s">
        <v>42</v>
      </c>
      <c r="E314" s="210"/>
      <c r="F314" s="108"/>
      <c r="G314" s="108"/>
      <c r="H314" s="59"/>
      <c r="I314" s="59"/>
      <c r="J314" s="59"/>
      <c r="K314" s="59"/>
      <c r="L314" s="59"/>
      <c r="M314" s="59"/>
      <c r="N314" s="59"/>
      <c r="O314" s="59"/>
      <c r="P314" s="59"/>
      <c r="Q314" s="59">
        <f>SUM(Tablo2[[#This Row],[Ocak]:[Aralık]])</f>
        <v>0</v>
      </c>
    </row>
    <row r="315" spans="1:17" x14ac:dyDescent="0.3">
      <c r="A315" s="538"/>
      <c r="B315" s="56" t="s">
        <v>17</v>
      </c>
      <c r="C315" s="57" t="s">
        <v>6</v>
      </c>
      <c r="D315" s="57" t="s">
        <v>45</v>
      </c>
      <c r="E315" s="210"/>
      <c r="F315" s="108"/>
      <c r="G315" s="108"/>
      <c r="H315" s="59"/>
      <c r="I315" s="59"/>
      <c r="J315" s="59"/>
      <c r="K315" s="59"/>
      <c r="L315" s="59"/>
      <c r="M315" s="59"/>
      <c r="N315" s="59"/>
      <c r="O315" s="59"/>
      <c r="P315" s="59"/>
      <c r="Q315" s="59">
        <f>SUM(Tablo2[[#This Row],[Ocak]:[Aralık]])</f>
        <v>0</v>
      </c>
    </row>
    <row r="316" spans="1:17" x14ac:dyDescent="0.3">
      <c r="A316" s="538"/>
      <c r="B316" s="56" t="s">
        <v>17</v>
      </c>
      <c r="C316" s="57" t="s">
        <v>6</v>
      </c>
      <c r="D316" s="57" t="s">
        <v>48</v>
      </c>
      <c r="E316" s="210"/>
      <c r="F316" s="108"/>
      <c r="G316" s="108"/>
      <c r="H316" s="59"/>
      <c r="I316" s="59"/>
      <c r="J316" s="59"/>
      <c r="K316" s="59"/>
      <c r="L316" s="59"/>
      <c r="M316" s="59"/>
      <c r="N316" s="59"/>
      <c r="O316" s="59"/>
      <c r="P316" s="59"/>
      <c r="Q316" s="59">
        <f>SUM(Tablo2[[#This Row],[Ocak]:[Aralık]])</f>
        <v>0</v>
      </c>
    </row>
    <row r="317" spans="1:17" x14ac:dyDescent="0.3">
      <c r="A317" s="538"/>
      <c r="B317" s="56" t="s">
        <v>17</v>
      </c>
      <c r="C317" s="57" t="s">
        <v>6</v>
      </c>
      <c r="D317" s="57" t="s">
        <v>50</v>
      </c>
      <c r="E317" s="210"/>
      <c r="F317" s="108"/>
      <c r="G317" s="108"/>
      <c r="H317" s="59"/>
      <c r="I317" s="59"/>
      <c r="J317" s="59"/>
      <c r="K317" s="59"/>
      <c r="L317" s="59"/>
      <c r="M317" s="59"/>
      <c r="N317" s="59"/>
      <c r="O317" s="59"/>
      <c r="P317" s="59"/>
      <c r="Q317" s="59">
        <f>SUM(Tablo2[[#This Row],[Ocak]:[Aralık]])</f>
        <v>0</v>
      </c>
    </row>
    <row r="318" spans="1:17" x14ac:dyDescent="0.3">
      <c r="A318" s="538">
        <v>2</v>
      </c>
      <c r="B318" s="56" t="s">
        <v>17</v>
      </c>
      <c r="C318" s="57" t="s">
        <v>10</v>
      </c>
      <c r="D318" s="57" t="s">
        <v>7</v>
      </c>
      <c r="E318" s="210"/>
      <c r="F318" s="108">
        <v>70</v>
      </c>
      <c r="G318" s="108"/>
      <c r="H318" s="59"/>
      <c r="I318" s="59"/>
      <c r="J318" s="59"/>
      <c r="K318" s="59"/>
      <c r="L318" s="59"/>
      <c r="M318" s="59"/>
      <c r="N318" s="59"/>
      <c r="O318" s="59"/>
      <c r="P318" s="59"/>
      <c r="Q318" s="59">
        <f>SUM(Tablo2[[#This Row],[Ocak]:[Aralık]])</f>
        <v>70</v>
      </c>
    </row>
    <row r="319" spans="1:17" x14ac:dyDescent="0.3">
      <c r="A319" s="538"/>
      <c r="B319" s="56" t="s">
        <v>17</v>
      </c>
      <c r="C319" s="57" t="s">
        <v>10</v>
      </c>
      <c r="D319" s="57" t="s">
        <v>11</v>
      </c>
      <c r="E319" s="210">
        <v>6075</v>
      </c>
      <c r="F319" s="108">
        <v>2370</v>
      </c>
      <c r="G319" s="108">
        <v>1770</v>
      </c>
      <c r="H319" s="59"/>
      <c r="I319" s="59"/>
      <c r="J319" s="59"/>
      <c r="K319" s="59"/>
      <c r="L319" s="59"/>
      <c r="M319" s="59"/>
      <c r="N319" s="59"/>
      <c r="O319" s="59"/>
      <c r="P319" s="59"/>
      <c r="Q319" s="59">
        <f>SUM(Tablo2[[#This Row],[Ocak]:[Aralık]])</f>
        <v>10215</v>
      </c>
    </row>
    <row r="320" spans="1:17" x14ac:dyDescent="0.25">
      <c r="A320" s="538"/>
      <c r="B320" s="56" t="s">
        <v>17</v>
      </c>
      <c r="C320" s="57" t="s">
        <v>10</v>
      </c>
      <c r="D320" s="57" t="s">
        <v>15</v>
      </c>
      <c r="E320" s="210"/>
      <c r="F320" s="108"/>
      <c r="G320" s="108"/>
      <c r="H320" s="59">
        <v>1780</v>
      </c>
      <c r="I320" s="380">
        <v>705</v>
      </c>
      <c r="J320" s="59">
        <v>2095</v>
      </c>
      <c r="K320" s="108"/>
      <c r="L320" s="59"/>
      <c r="M320" s="59"/>
      <c r="N320" s="59"/>
      <c r="O320" s="59"/>
      <c r="P320" s="59"/>
      <c r="Q320" s="59">
        <f>SUM(Tablo2[[#This Row],[Ocak]:[Aralık]])</f>
        <v>4580</v>
      </c>
    </row>
    <row r="321" spans="1:17" x14ac:dyDescent="0.3">
      <c r="A321" s="538"/>
      <c r="B321" s="56" t="s">
        <v>17</v>
      </c>
      <c r="C321" s="57" t="s">
        <v>10</v>
      </c>
      <c r="D321" s="57" t="s">
        <v>19</v>
      </c>
      <c r="E321" s="210"/>
      <c r="F321" s="108"/>
      <c r="G321" s="108"/>
      <c r="H321" s="59"/>
      <c r="I321" s="59"/>
      <c r="J321" s="59"/>
      <c r="K321" s="108"/>
      <c r="L321" s="59"/>
      <c r="M321" s="59"/>
      <c r="N321" s="59"/>
      <c r="O321" s="59"/>
      <c r="P321" s="59"/>
      <c r="Q321" s="59">
        <f>SUM(Tablo2[[#This Row],[Ocak]:[Aralık]])</f>
        <v>0</v>
      </c>
    </row>
    <row r="322" spans="1:17" x14ac:dyDescent="0.3">
      <c r="A322" s="538"/>
      <c r="B322" s="56" t="s">
        <v>17</v>
      </c>
      <c r="C322" s="57" t="s">
        <v>10</v>
      </c>
      <c r="D322" s="57" t="s">
        <v>22</v>
      </c>
      <c r="E322" s="210"/>
      <c r="F322" s="108"/>
      <c r="G322" s="108"/>
      <c r="H322" s="59"/>
      <c r="I322" s="59"/>
      <c r="J322" s="59"/>
      <c r="K322" s="108"/>
      <c r="L322" s="59"/>
      <c r="M322" s="59"/>
      <c r="N322" s="59"/>
      <c r="O322" s="59"/>
      <c r="P322" s="59"/>
      <c r="Q322" s="59">
        <f>SUM(Tablo2[[#This Row],[Ocak]:[Aralık]])</f>
        <v>0</v>
      </c>
    </row>
    <row r="323" spans="1:17" x14ac:dyDescent="0.3">
      <c r="A323" s="538"/>
      <c r="B323" s="56" t="s">
        <v>17</v>
      </c>
      <c r="C323" s="57" t="s">
        <v>10</v>
      </c>
      <c r="D323" s="57" t="s">
        <v>25</v>
      </c>
      <c r="E323" s="210"/>
      <c r="F323" s="108"/>
      <c r="G323" s="108"/>
      <c r="H323" s="59"/>
      <c r="I323" s="59"/>
      <c r="J323" s="59"/>
      <c r="K323" s="108"/>
      <c r="L323" s="59"/>
      <c r="M323" s="59"/>
      <c r="N323" s="59"/>
      <c r="O323" s="59"/>
      <c r="P323" s="59"/>
      <c r="Q323" s="59">
        <f>SUM(Tablo2[[#This Row],[Ocak]:[Aralık]])</f>
        <v>0</v>
      </c>
    </row>
    <row r="324" spans="1:17" x14ac:dyDescent="0.3">
      <c r="A324" s="538"/>
      <c r="B324" s="56" t="s">
        <v>17</v>
      </c>
      <c r="C324" s="57" t="s">
        <v>10</v>
      </c>
      <c r="D324" s="57" t="s">
        <v>28</v>
      </c>
      <c r="E324" s="210"/>
      <c r="F324" s="108"/>
      <c r="G324" s="108"/>
      <c r="H324" s="59"/>
      <c r="I324" s="59"/>
      <c r="J324" s="59"/>
      <c r="K324" s="108"/>
      <c r="L324" s="59"/>
      <c r="M324" s="59"/>
      <c r="N324" s="59"/>
      <c r="O324" s="59"/>
      <c r="P324" s="59"/>
      <c r="Q324" s="59">
        <f>SUM(Tablo2[[#This Row],[Ocak]:[Aralık]])</f>
        <v>0</v>
      </c>
    </row>
    <row r="325" spans="1:17" x14ac:dyDescent="0.3">
      <c r="A325" s="538"/>
      <c r="B325" s="56" t="s">
        <v>17</v>
      </c>
      <c r="C325" s="57" t="s">
        <v>10</v>
      </c>
      <c r="D325" s="57" t="s">
        <v>31</v>
      </c>
      <c r="E325" s="210"/>
      <c r="F325" s="108"/>
      <c r="G325" s="108"/>
      <c r="H325" s="59"/>
      <c r="I325" s="59"/>
      <c r="J325" s="59"/>
      <c r="K325" s="108"/>
      <c r="L325" s="59"/>
      <c r="M325" s="59"/>
      <c r="N325" s="59"/>
      <c r="O325" s="59"/>
      <c r="P325" s="59"/>
      <c r="Q325" s="59">
        <f>SUM(Tablo2[[#This Row],[Ocak]:[Aralık]])</f>
        <v>0</v>
      </c>
    </row>
    <row r="326" spans="1:17" x14ac:dyDescent="0.3">
      <c r="A326" s="538"/>
      <c r="B326" s="56" t="s">
        <v>17</v>
      </c>
      <c r="C326" s="57" t="s">
        <v>10</v>
      </c>
      <c r="D326" s="57" t="s">
        <v>34</v>
      </c>
      <c r="E326" s="210"/>
      <c r="F326" s="108"/>
      <c r="G326" s="108"/>
      <c r="H326" s="59"/>
      <c r="I326" s="59"/>
      <c r="J326" s="59"/>
      <c r="K326" s="108"/>
      <c r="L326" s="59"/>
      <c r="M326" s="59"/>
      <c r="N326" s="59"/>
      <c r="O326" s="59"/>
      <c r="P326" s="59"/>
      <c r="Q326" s="59">
        <f>SUM(Tablo2[[#This Row],[Ocak]:[Aralık]])</f>
        <v>0</v>
      </c>
    </row>
    <row r="327" spans="1:17" x14ac:dyDescent="0.3">
      <c r="A327" s="538"/>
      <c r="B327" s="56" t="s">
        <v>17</v>
      </c>
      <c r="C327" s="57" t="s">
        <v>10</v>
      </c>
      <c r="D327" s="57" t="s">
        <v>37</v>
      </c>
      <c r="E327" s="210"/>
      <c r="F327" s="108"/>
      <c r="G327" s="108"/>
      <c r="H327" s="59"/>
      <c r="I327" s="59"/>
      <c r="J327" s="59"/>
      <c r="K327" s="108"/>
      <c r="L327" s="59"/>
      <c r="M327" s="59"/>
      <c r="N327" s="59"/>
      <c r="O327" s="59"/>
      <c r="P327" s="59"/>
      <c r="Q327" s="59">
        <f>SUM(Tablo2[[#This Row],[Ocak]:[Aralık]])</f>
        <v>0</v>
      </c>
    </row>
    <row r="328" spans="1:17" x14ac:dyDescent="0.3">
      <c r="A328" s="538"/>
      <c r="B328" s="56" t="s">
        <v>17</v>
      </c>
      <c r="C328" s="57" t="s">
        <v>10</v>
      </c>
      <c r="D328" s="57" t="s">
        <v>39</v>
      </c>
      <c r="E328" s="210"/>
      <c r="F328" s="108"/>
      <c r="G328" s="108"/>
      <c r="H328" s="59"/>
      <c r="I328" s="59"/>
      <c r="J328" s="59"/>
      <c r="K328" s="108"/>
      <c r="L328" s="59"/>
      <c r="M328" s="59"/>
      <c r="N328" s="59"/>
      <c r="O328" s="59"/>
      <c r="P328" s="59"/>
      <c r="Q328" s="59">
        <f>SUM(Tablo2[[#This Row],[Ocak]:[Aralık]])</f>
        <v>0</v>
      </c>
    </row>
    <row r="329" spans="1:17" x14ac:dyDescent="0.3">
      <c r="A329" s="538"/>
      <c r="B329" s="56" t="s">
        <v>17</v>
      </c>
      <c r="C329" s="57" t="s">
        <v>10</v>
      </c>
      <c r="D329" s="57" t="s">
        <v>42</v>
      </c>
      <c r="E329" s="210"/>
      <c r="F329" s="108"/>
      <c r="G329" s="108"/>
      <c r="H329" s="59"/>
      <c r="I329" s="59"/>
      <c r="J329" s="59"/>
      <c r="K329" s="108"/>
      <c r="L329" s="59"/>
      <c r="M329" s="59"/>
      <c r="N329" s="59"/>
      <c r="O329" s="59"/>
      <c r="P329" s="59"/>
      <c r="Q329" s="59">
        <f>SUM(Tablo2[[#This Row],[Ocak]:[Aralık]])</f>
        <v>0</v>
      </c>
    </row>
    <row r="330" spans="1:17" x14ac:dyDescent="0.3">
      <c r="A330" s="538"/>
      <c r="B330" s="56" t="s">
        <v>17</v>
      </c>
      <c r="C330" s="57" t="s">
        <v>10</v>
      </c>
      <c r="D330" s="57" t="s">
        <v>45</v>
      </c>
      <c r="E330" s="210"/>
      <c r="F330" s="108"/>
      <c r="G330" s="108"/>
      <c r="H330" s="59"/>
      <c r="I330" s="59"/>
      <c r="J330" s="59"/>
      <c r="K330" s="108"/>
      <c r="L330" s="59"/>
      <c r="M330" s="59"/>
      <c r="N330" s="59"/>
      <c r="O330" s="59"/>
      <c r="P330" s="59"/>
      <c r="Q330" s="59">
        <f>SUM(Tablo2[[#This Row],[Ocak]:[Aralık]])</f>
        <v>0</v>
      </c>
    </row>
    <row r="331" spans="1:17" x14ac:dyDescent="0.3">
      <c r="A331" s="538"/>
      <c r="B331" s="56" t="s">
        <v>17</v>
      </c>
      <c r="C331" s="57" t="s">
        <v>10</v>
      </c>
      <c r="D331" s="57" t="s">
        <v>48</v>
      </c>
      <c r="E331" s="210"/>
      <c r="F331" s="108"/>
      <c r="G331" s="108"/>
      <c r="H331" s="59"/>
      <c r="I331" s="59"/>
      <c r="J331" s="59"/>
      <c r="K331" s="108"/>
      <c r="L331" s="59"/>
      <c r="M331" s="59"/>
      <c r="N331" s="59"/>
      <c r="O331" s="59"/>
      <c r="P331" s="59"/>
      <c r="Q331" s="59">
        <f>SUM(Tablo2[[#This Row],[Ocak]:[Aralık]])</f>
        <v>0</v>
      </c>
    </row>
    <row r="332" spans="1:17" x14ac:dyDescent="0.3">
      <c r="A332" s="538"/>
      <c r="B332" s="56" t="s">
        <v>17</v>
      </c>
      <c r="C332" s="57" t="s">
        <v>10</v>
      </c>
      <c r="D332" s="57" t="s">
        <v>50</v>
      </c>
      <c r="E332" s="210">
        <v>8395</v>
      </c>
      <c r="F332" s="108">
        <v>9225</v>
      </c>
      <c r="G332" s="108">
        <v>8530</v>
      </c>
      <c r="H332" s="59"/>
      <c r="I332" s="59"/>
      <c r="J332" s="59"/>
      <c r="K332" s="108"/>
      <c r="L332" s="59"/>
      <c r="M332" s="59"/>
      <c r="N332" s="59"/>
      <c r="O332" s="59"/>
      <c r="P332" s="59"/>
      <c r="Q332" s="59">
        <f>SUM(Tablo2[[#This Row],[Ocak]:[Aralık]])</f>
        <v>26150</v>
      </c>
    </row>
    <row r="333" spans="1:17" x14ac:dyDescent="0.25">
      <c r="A333" s="54">
        <v>5</v>
      </c>
      <c r="B333" s="56" t="s">
        <v>17</v>
      </c>
      <c r="C333" s="57" t="s">
        <v>14</v>
      </c>
      <c r="D333" s="57"/>
      <c r="E333" s="210"/>
      <c r="F333" s="108">
        <v>350</v>
      </c>
      <c r="G333" s="108">
        <v>270</v>
      </c>
      <c r="H333" s="59">
        <v>3950</v>
      </c>
      <c r="I333" s="380">
        <v>645</v>
      </c>
      <c r="J333" s="59">
        <v>2590</v>
      </c>
      <c r="K333" s="108"/>
      <c r="L333" s="59"/>
      <c r="M333" s="59">
        <v>3465</v>
      </c>
      <c r="N333" s="59"/>
      <c r="O333" s="59"/>
      <c r="P333" s="59"/>
      <c r="Q333" s="59">
        <f>SUM(Tablo2[[#This Row],[Ocak]:[Aralık]])</f>
        <v>11270</v>
      </c>
    </row>
    <row r="334" spans="1:17" x14ac:dyDescent="0.3">
      <c r="A334" s="54">
        <v>6</v>
      </c>
      <c r="B334" s="56" t="s">
        <v>17</v>
      </c>
      <c r="C334" s="57" t="s">
        <v>18</v>
      </c>
      <c r="D334" s="57"/>
      <c r="E334" s="210"/>
      <c r="F334" s="108">
        <v>420</v>
      </c>
      <c r="G334" s="108"/>
      <c r="H334" s="59">
        <v>565</v>
      </c>
      <c r="I334" s="59"/>
      <c r="J334" s="59">
        <v>120</v>
      </c>
      <c r="K334" s="108"/>
      <c r="L334" s="59"/>
      <c r="M334" s="59"/>
      <c r="N334" s="59"/>
      <c r="O334" s="59"/>
      <c r="P334" s="59"/>
      <c r="Q334" s="59">
        <f>SUM(Tablo2[[#This Row],[Ocak]:[Aralık]])</f>
        <v>1105</v>
      </c>
    </row>
    <row r="335" spans="1:17" x14ac:dyDescent="0.3">
      <c r="A335" s="54">
        <v>7</v>
      </c>
      <c r="B335" s="56" t="s">
        <v>17</v>
      </c>
      <c r="C335" s="57" t="s">
        <v>21</v>
      </c>
      <c r="D335" s="57"/>
      <c r="E335" s="210">
        <v>510</v>
      </c>
      <c r="F335" s="108"/>
      <c r="G335" s="108"/>
      <c r="H335" s="59">
        <v>460</v>
      </c>
      <c r="I335" s="59"/>
      <c r="J335" s="59"/>
      <c r="K335" s="59"/>
      <c r="L335" s="59"/>
      <c r="M335" s="59">
        <v>240</v>
      </c>
      <c r="N335" s="59"/>
      <c r="O335" s="59"/>
      <c r="P335" s="59"/>
      <c r="Q335" s="59">
        <f>SUM(Tablo2[[#This Row],[Ocak]:[Aralık]])</f>
        <v>1210</v>
      </c>
    </row>
    <row r="336" spans="1:17" x14ac:dyDescent="0.3">
      <c r="A336" s="54">
        <v>8</v>
      </c>
      <c r="B336" s="56" t="s">
        <v>17</v>
      </c>
      <c r="C336" s="57" t="s">
        <v>24</v>
      </c>
      <c r="D336" s="57"/>
      <c r="E336" s="210"/>
      <c r="F336" s="108"/>
      <c r="G336" s="108"/>
      <c r="H336" s="59"/>
      <c r="I336" s="59"/>
      <c r="J336" s="59">
        <v>75</v>
      </c>
      <c r="K336" s="59"/>
      <c r="L336" s="59"/>
      <c r="M336" s="59">
        <v>3055</v>
      </c>
      <c r="N336" s="59"/>
      <c r="O336" s="59"/>
      <c r="P336" s="59"/>
      <c r="Q336" s="59">
        <f>SUM(Tablo2[[#This Row],[Ocak]:[Aralık]])</f>
        <v>3130</v>
      </c>
    </row>
    <row r="337" spans="1:17" x14ac:dyDescent="0.3">
      <c r="A337" s="54">
        <v>9</v>
      </c>
      <c r="B337" s="56" t="s">
        <v>17</v>
      </c>
      <c r="C337" s="57" t="s">
        <v>27</v>
      </c>
      <c r="D337" s="57"/>
      <c r="E337" s="210"/>
      <c r="F337" s="108"/>
      <c r="G337" s="108"/>
      <c r="H337" s="59"/>
      <c r="I337" s="59"/>
      <c r="J337" s="59"/>
      <c r="K337" s="59"/>
      <c r="L337" s="59"/>
      <c r="M337" s="59"/>
      <c r="N337" s="59"/>
      <c r="O337" s="59"/>
      <c r="P337" s="59"/>
      <c r="Q337" s="59">
        <f>SUM(Tablo2[[#This Row],[Ocak]:[Aralık]])</f>
        <v>0</v>
      </c>
    </row>
    <row r="338" spans="1:17" x14ac:dyDescent="0.3">
      <c r="A338" s="54">
        <v>10</v>
      </c>
      <c r="B338" s="56" t="s">
        <v>17</v>
      </c>
      <c r="C338" s="57" t="s">
        <v>30</v>
      </c>
      <c r="D338" s="57"/>
      <c r="E338" s="210"/>
      <c r="F338" s="108"/>
      <c r="G338" s="108"/>
      <c r="H338" s="59"/>
      <c r="I338" s="59"/>
      <c r="J338" s="59"/>
      <c r="K338" s="59"/>
      <c r="L338" s="59"/>
      <c r="M338" s="59"/>
      <c r="N338" s="59"/>
      <c r="O338" s="59"/>
      <c r="P338" s="59"/>
      <c r="Q338" s="59">
        <f>SUM(Tablo2[[#This Row],[Ocak]:[Aralık]])</f>
        <v>0</v>
      </c>
    </row>
    <row r="339" spans="1:17" x14ac:dyDescent="0.3">
      <c r="A339" s="54">
        <v>11</v>
      </c>
      <c r="B339" s="56" t="s">
        <v>17</v>
      </c>
      <c r="C339" s="57" t="s">
        <v>33</v>
      </c>
      <c r="D339" s="57"/>
      <c r="E339" s="210">
        <v>360</v>
      </c>
      <c r="F339" s="108"/>
      <c r="G339" s="108">
        <v>120</v>
      </c>
      <c r="H339" s="59"/>
      <c r="I339" s="59"/>
      <c r="J339" s="59"/>
      <c r="K339" s="59"/>
      <c r="L339" s="59"/>
      <c r="M339" s="59">
        <v>60</v>
      </c>
      <c r="N339" s="59"/>
      <c r="O339" s="59"/>
      <c r="P339" s="59"/>
      <c r="Q339" s="59">
        <f>SUM(Tablo2[[#This Row],[Ocak]:[Aralık]])</f>
        <v>540</v>
      </c>
    </row>
    <row r="340" spans="1:17" x14ac:dyDescent="0.3">
      <c r="A340" s="54">
        <v>12</v>
      </c>
      <c r="B340" s="56" t="s">
        <v>17</v>
      </c>
      <c r="C340" s="57" t="s">
        <v>36</v>
      </c>
      <c r="D340" s="57"/>
      <c r="E340" s="210"/>
      <c r="F340" s="108"/>
      <c r="G340" s="108"/>
      <c r="H340" s="59"/>
      <c r="I340" s="59"/>
      <c r="J340" s="59"/>
      <c r="K340" s="59"/>
      <c r="L340" s="59"/>
      <c r="M340" s="59">
        <v>190</v>
      </c>
      <c r="N340" s="59"/>
      <c r="O340" s="59"/>
      <c r="P340" s="59"/>
      <c r="Q340" s="59">
        <f>SUM(Tablo2[[#This Row],[Ocak]:[Aralık]])</f>
        <v>190</v>
      </c>
    </row>
    <row r="341" spans="1:17" x14ac:dyDescent="0.3">
      <c r="A341" s="54">
        <v>13</v>
      </c>
      <c r="B341" s="56" t="s">
        <v>17</v>
      </c>
      <c r="C341" s="57" t="s">
        <v>38</v>
      </c>
      <c r="D341" s="57"/>
      <c r="E341" s="210"/>
      <c r="F341" s="108"/>
      <c r="G341" s="108"/>
      <c r="H341" s="59"/>
      <c r="I341" s="59"/>
      <c r="J341" s="59"/>
      <c r="K341" s="59"/>
      <c r="L341" s="59"/>
      <c r="M341" s="59"/>
      <c r="N341" s="59"/>
      <c r="O341" s="59"/>
      <c r="P341" s="59"/>
      <c r="Q341" s="59">
        <f>SUM(Tablo2[[#This Row],[Ocak]:[Aralık]])</f>
        <v>0</v>
      </c>
    </row>
    <row r="342" spans="1:17" x14ac:dyDescent="0.3">
      <c r="A342" s="54">
        <v>14</v>
      </c>
      <c r="B342" s="56" t="s">
        <v>17</v>
      </c>
      <c r="C342" s="57" t="s">
        <v>41</v>
      </c>
      <c r="D342" s="57"/>
      <c r="E342" s="210"/>
      <c r="F342" s="108"/>
      <c r="G342" s="108"/>
      <c r="H342" s="59"/>
      <c r="I342" s="59"/>
      <c r="J342" s="59"/>
      <c r="K342" s="59"/>
      <c r="L342" s="59"/>
      <c r="M342" s="59"/>
      <c r="N342" s="59"/>
      <c r="O342" s="59"/>
      <c r="P342" s="59"/>
      <c r="Q342" s="59">
        <f>SUM(Tablo2[[#This Row],[Ocak]:[Aralık]])</f>
        <v>0</v>
      </c>
    </row>
    <row r="343" spans="1:17" x14ac:dyDescent="0.3">
      <c r="A343" s="54">
        <v>15</v>
      </c>
      <c r="B343" s="56" t="s">
        <v>17</v>
      </c>
      <c r="C343" s="57" t="s">
        <v>44</v>
      </c>
      <c r="D343" s="57"/>
      <c r="E343" s="210"/>
      <c r="F343" s="108">
        <v>180</v>
      </c>
      <c r="G343" s="108"/>
      <c r="H343" s="59"/>
      <c r="I343" s="59"/>
      <c r="J343" s="59"/>
      <c r="K343" s="59"/>
      <c r="L343" s="59"/>
      <c r="M343" s="59"/>
      <c r="N343" s="59"/>
      <c r="O343" s="59"/>
      <c r="P343" s="59"/>
      <c r="Q343" s="59">
        <f>SUM(Tablo2[[#This Row],[Ocak]:[Aralık]])</f>
        <v>180</v>
      </c>
    </row>
    <row r="344" spans="1:17" x14ac:dyDescent="0.3">
      <c r="A344" s="54">
        <v>16</v>
      </c>
      <c r="B344" s="56" t="s">
        <v>17</v>
      </c>
      <c r="C344" s="57" t="s">
        <v>47</v>
      </c>
      <c r="D344" s="57"/>
      <c r="E344" s="210"/>
      <c r="F344" s="108"/>
      <c r="G344" s="108"/>
      <c r="H344" s="59"/>
      <c r="I344" s="59"/>
      <c r="J344" s="59"/>
      <c r="K344" s="59"/>
      <c r="L344" s="59"/>
      <c r="M344" s="59"/>
      <c r="N344" s="59"/>
      <c r="O344" s="59"/>
      <c r="P344" s="59"/>
      <c r="Q344" s="59">
        <f>SUM(Tablo2[[#This Row],[Ocak]:[Aralık]])</f>
        <v>0</v>
      </c>
    </row>
    <row r="345" spans="1:17" x14ac:dyDescent="0.3">
      <c r="A345" s="54">
        <v>17</v>
      </c>
      <c r="B345" s="56" t="s">
        <v>17</v>
      </c>
      <c r="C345" s="57" t="s">
        <v>49</v>
      </c>
      <c r="D345" s="57"/>
      <c r="E345" s="210"/>
      <c r="F345" s="108"/>
      <c r="G345" s="108"/>
      <c r="H345" s="59"/>
      <c r="I345" s="59"/>
      <c r="J345" s="59"/>
      <c r="K345" s="59"/>
      <c r="L345" s="59"/>
      <c r="M345" s="59"/>
      <c r="N345" s="59"/>
      <c r="O345" s="59"/>
      <c r="P345" s="59"/>
      <c r="Q345" s="59">
        <f>SUM(Tablo2[[#This Row],[Ocak]:[Aralık]])</f>
        <v>0</v>
      </c>
    </row>
    <row r="346" spans="1:17" x14ac:dyDescent="0.3">
      <c r="A346" s="54">
        <v>18</v>
      </c>
      <c r="B346" s="56" t="s">
        <v>17</v>
      </c>
      <c r="C346" s="57" t="s">
        <v>51</v>
      </c>
      <c r="D346" s="57"/>
      <c r="E346" s="210"/>
      <c r="F346" s="108"/>
      <c r="G346" s="108"/>
      <c r="H346" s="59"/>
      <c r="I346" s="59"/>
      <c r="J346" s="59"/>
      <c r="K346" s="59"/>
      <c r="L346" s="59"/>
      <c r="M346" s="59"/>
      <c r="N346" s="59"/>
      <c r="O346" s="59"/>
      <c r="P346" s="59"/>
      <c r="Q346" s="59">
        <f>SUM(Tablo2[[#This Row],[Ocak]:[Aralık]])</f>
        <v>0</v>
      </c>
    </row>
    <row r="347" spans="1:17" x14ac:dyDescent="0.3">
      <c r="A347" s="54">
        <v>19</v>
      </c>
      <c r="B347" s="56" t="s">
        <v>17</v>
      </c>
      <c r="C347" s="57" t="s">
        <v>52</v>
      </c>
      <c r="D347" s="57"/>
      <c r="E347" s="210"/>
      <c r="F347" s="108"/>
      <c r="G347" s="108"/>
      <c r="H347" s="59"/>
      <c r="I347" s="59"/>
      <c r="J347" s="59"/>
      <c r="K347" s="59"/>
      <c r="L347" s="59"/>
      <c r="M347" s="59"/>
      <c r="N347" s="59"/>
      <c r="O347" s="59"/>
      <c r="P347" s="59"/>
      <c r="Q347" s="59">
        <f>SUM(Tablo2[[#This Row],[Ocak]:[Aralık]])</f>
        <v>0</v>
      </c>
    </row>
    <row r="348" spans="1:17" x14ac:dyDescent="0.3">
      <c r="A348" s="54">
        <v>20</v>
      </c>
      <c r="B348" s="56" t="s">
        <v>17</v>
      </c>
      <c r="C348" s="57" t="s">
        <v>53</v>
      </c>
      <c r="D348" s="57"/>
      <c r="E348" s="210"/>
      <c r="F348" s="108">
        <v>120</v>
      </c>
      <c r="G348" s="108"/>
      <c r="H348" s="59"/>
      <c r="I348" s="59"/>
      <c r="J348" s="59"/>
      <c r="K348" s="59"/>
      <c r="L348" s="59"/>
      <c r="M348" s="59"/>
      <c r="N348" s="59"/>
      <c r="O348" s="59"/>
      <c r="P348" s="59"/>
      <c r="Q348" s="59">
        <f>SUM(Tablo2[[#This Row],[Ocak]:[Aralık]])</f>
        <v>120</v>
      </c>
    </row>
    <row r="349" spans="1:17" x14ac:dyDescent="0.3">
      <c r="A349" s="54">
        <v>21</v>
      </c>
      <c r="B349" s="56" t="s">
        <v>17</v>
      </c>
      <c r="C349" s="57" t="s">
        <v>54</v>
      </c>
      <c r="D349" s="57"/>
      <c r="E349" s="210"/>
      <c r="F349" s="108"/>
      <c r="G349" s="108"/>
      <c r="H349" s="59"/>
      <c r="I349" s="59"/>
      <c r="J349" s="59"/>
      <c r="K349" s="59"/>
      <c r="L349" s="59"/>
      <c r="M349" s="59"/>
      <c r="N349" s="59"/>
      <c r="O349" s="59"/>
      <c r="P349" s="59"/>
      <c r="Q349" s="59">
        <f>SUM(Tablo2[[#This Row],[Ocak]:[Aralık]])</f>
        <v>0</v>
      </c>
    </row>
    <row r="350" spans="1:17" x14ac:dyDescent="0.3">
      <c r="A350" s="54">
        <v>22</v>
      </c>
      <c r="B350" s="56" t="s">
        <v>17</v>
      </c>
      <c r="C350" s="57" t="s">
        <v>55</v>
      </c>
      <c r="D350" s="57"/>
      <c r="E350" s="210"/>
      <c r="F350" s="108"/>
      <c r="G350" s="108"/>
      <c r="H350" s="59"/>
      <c r="I350" s="59"/>
      <c r="J350" s="59"/>
      <c r="K350" s="59"/>
      <c r="L350" s="59"/>
      <c r="M350" s="59"/>
      <c r="N350" s="59"/>
      <c r="O350" s="59"/>
      <c r="P350" s="59"/>
      <c r="Q350" s="59">
        <f>SUM(Tablo2[[#This Row],[Ocak]:[Aralık]])</f>
        <v>0</v>
      </c>
    </row>
    <row r="351" spans="1:17" x14ac:dyDescent="0.3">
      <c r="A351" s="54">
        <v>23</v>
      </c>
      <c r="B351" s="56" t="s">
        <v>17</v>
      </c>
      <c r="C351" s="57" t="s">
        <v>56</v>
      </c>
      <c r="D351" s="57"/>
      <c r="E351" s="210"/>
      <c r="F351" s="108"/>
      <c r="G351" s="108"/>
      <c r="H351" s="59"/>
      <c r="I351" s="59"/>
      <c r="J351" s="59"/>
      <c r="K351" s="59"/>
      <c r="L351" s="59"/>
      <c r="M351" s="59"/>
      <c r="N351" s="59"/>
      <c r="O351" s="59"/>
      <c r="P351" s="59"/>
      <c r="Q351" s="59">
        <f>SUM(Tablo2[[#This Row],[Ocak]:[Aralık]])</f>
        <v>0</v>
      </c>
    </row>
    <row r="352" spans="1:17" x14ac:dyDescent="0.3">
      <c r="A352" s="54">
        <v>24</v>
      </c>
      <c r="B352" s="56" t="s">
        <v>17</v>
      </c>
      <c r="C352" s="57" t="s">
        <v>57</v>
      </c>
      <c r="D352" s="57"/>
      <c r="E352" s="210"/>
      <c r="F352" s="108"/>
      <c r="G352" s="108"/>
      <c r="H352" s="59"/>
      <c r="I352" s="59"/>
      <c r="J352" s="59"/>
      <c r="K352" s="59"/>
      <c r="L352" s="59"/>
      <c r="M352" s="59"/>
      <c r="N352" s="59"/>
      <c r="O352" s="59"/>
      <c r="P352" s="59"/>
      <c r="Q352" s="59">
        <f>SUM(Tablo2[[#This Row],[Ocak]:[Aralık]])</f>
        <v>0</v>
      </c>
    </row>
    <row r="353" spans="1:17" x14ac:dyDescent="0.3">
      <c r="A353" s="538">
        <v>1</v>
      </c>
      <c r="B353" s="56" t="s">
        <v>29</v>
      </c>
      <c r="C353" s="57" t="s">
        <v>6</v>
      </c>
      <c r="D353" s="57" t="s">
        <v>7</v>
      </c>
      <c r="E353" s="210"/>
      <c r="F353" s="108"/>
      <c r="G353" s="108"/>
      <c r="H353" s="59"/>
      <c r="I353" s="59"/>
      <c r="J353" s="59"/>
      <c r="K353" s="59"/>
      <c r="L353" s="59"/>
      <c r="M353" s="59"/>
      <c r="N353" s="59"/>
      <c r="O353" s="59"/>
      <c r="P353" s="59"/>
      <c r="Q353" s="59">
        <f>SUM(Tablo2[[#This Row],[Ocak]:[Aralık]])</f>
        <v>0</v>
      </c>
    </row>
    <row r="354" spans="1:17" x14ac:dyDescent="0.3">
      <c r="A354" s="538"/>
      <c r="B354" s="56" t="s">
        <v>29</v>
      </c>
      <c r="C354" s="57" t="s">
        <v>6</v>
      </c>
      <c r="D354" s="57" t="s">
        <v>11</v>
      </c>
      <c r="E354" s="210"/>
      <c r="F354" s="108"/>
      <c r="G354" s="108"/>
      <c r="H354" s="59"/>
      <c r="I354" s="59"/>
      <c r="J354" s="59"/>
      <c r="K354" s="59"/>
      <c r="L354" s="59"/>
      <c r="M354" s="59"/>
      <c r="N354" s="59"/>
      <c r="O354" s="59"/>
      <c r="P354" s="59"/>
      <c r="Q354" s="59">
        <f>SUM(Tablo2[[#This Row],[Ocak]:[Aralık]])</f>
        <v>0</v>
      </c>
    </row>
    <row r="355" spans="1:17" x14ac:dyDescent="0.3">
      <c r="A355" s="538"/>
      <c r="B355" s="56" t="s">
        <v>29</v>
      </c>
      <c r="C355" s="57" t="s">
        <v>6</v>
      </c>
      <c r="D355" s="57" t="s">
        <v>15</v>
      </c>
      <c r="E355" s="210"/>
      <c r="F355" s="108"/>
      <c r="G355" s="108"/>
      <c r="H355" s="59"/>
      <c r="I355" s="59"/>
      <c r="J355" s="59"/>
      <c r="K355" s="59"/>
      <c r="L355" s="59"/>
      <c r="M355" s="59"/>
      <c r="N355" s="59"/>
      <c r="O355" s="59"/>
      <c r="P355" s="59"/>
      <c r="Q355" s="59">
        <f>SUM(Tablo2[[#This Row],[Ocak]:[Aralık]])</f>
        <v>0</v>
      </c>
    </row>
    <row r="356" spans="1:17" x14ac:dyDescent="0.3">
      <c r="A356" s="538"/>
      <c r="B356" s="56" t="s">
        <v>29</v>
      </c>
      <c r="C356" s="57" t="s">
        <v>6</v>
      </c>
      <c r="D356" s="57" t="s">
        <v>19</v>
      </c>
      <c r="E356" s="210"/>
      <c r="F356" s="108"/>
      <c r="G356" s="108"/>
      <c r="H356" s="59"/>
      <c r="I356" s="59"/>
      <c r="J356" s="59"/>
      <c r="K356" s="59"/>
      <c r="L356" s="59"/>
      <c r="M356" s="59"/>
      <c r="N356" s="59"/>
      <c r="O356" s="59"/>
      <c r="P356" s="59"/>
      <c r="Q356" s="59">
        <f>SUM(Tablo2[[#This Row],[Ocak]:[Aralık]])</f>
        <v>0</v>
      </c>
    </row>
    <row r="357" spans="1:17" x14ac:dyDescent="0.3">
      <c r="A357" s="538"/>
      <c r="B357" s="56" t="s">
        <v>29</v>
      </c>
      <c r="C357" s="57" t="s">
        <v>6</v>
      </c>
      <c r="D357" s="57" t="s">
        <v>22</v>
      </c>
      <c r="E357" s="210"/>
      <c r="F357" s="108"/>
      <c r="G357" s="108"/>
      <c r="H357" s="59"/>
      <c r="I357" s="59"/>
      <c r="J357" s="59"/>
      <c r="K357" s="59"/>
      <c r="L357" s="59"/>
      <c r="M357" s="59"/>
      <c r="N357" s="59"/>
      <c r="O357" s="59"/>
      <c r="P357" s="59"/>
      <c r="Q357" s="59">
        <f>SUM(Tablo2[[#This Row],[Ocak]:[Aralık]])</f>
        <v>0</v>
      </c>
    </row>
    <row r="358" spans="1:17" x14ac:dyDescent="0.3">
      <c r="A358" s="538"/>
      <c r="B358" s="56" t="s">
        <v>29</v>
      </c>
      <c r="C358" s="57" t="s">
        <v>6</v>
      </c>
      <c r="D358" s="57" t="s">
        <v>25</v>
      </c>
      <c r="E358" s="210"/>
      <c r="F358" s="108"/>
      <c r="G358" s="108"/>
      <c r="H358" s="59"/>
      <c r="I358" s="59"/>
      <c r="J358" s="59"/>
      <c r="K358" s="59"/>
      <c r="L358" s="59"/>
      <c r="M358" s="59"/>
      <c r="N358" s="59"/>
      <c r="O358" s="59"/>
      <c r="P358" s="59"/>
      <c r="Q358" s="59">
        <f>SUM(Tablo2[[#This Row],[Ocak]:[Aralık]])</f>
        <v>0</v>
      </c>
    </row>
    <row r="359" spans="1:17" x14ac:dyDescent="0.3">
      <c r="A359" s="538"/>
      <c r="B359" s="56" t="s">
        <v>29</v>
      </c>
      <c r="C359" s="57" t="s">
        <v>6</v>
      </c>
      <c r="D359" s="57" t="s">
        <v>28</v>
      </c>
      <c r="E359" s="210"/>
      <c r="F359" s="108"/>
      <c r="G359" s="108"/>
      <c r="H359" s="59"/>
      <c r="I359" s="59"/>
      <c r="J359" s="59"/>
      <c r="K359" s="59"/>
      <c r="L359" s="59"/>
      <c r="M359" s="59"/>
      <c r="N359" s="59"/>
      <c r="O359" s="59"/>
      <c r="P359" s="59"/>
      <c r="Q359" s="59">
        <f>SUM(Tablo2[[#This Row],[Ocak]:[Aralık]])</f>
        <v>0</v>
      </c>
    </row>
    <row r="360" spans="1:17" x14ac:dyDescent="0.3">
      <c r="A360" s="538"/>
      <c r="B360" s="56" t="s">
        <v>29</v>
      </c>
      <c r="C360" s="57" t="s">
        <v>6</v>
      </c>
      <c r="D360" s="57" t="s">
        <v>31</v>
      </c>
      <c r="E360" s="210"/>
      <c r="F360" s="108"/>
      <c r="G360" s="108"/>
      <c r="H360" s="59"/>
      <c r="I360" s="59"/>
      <c r="J360" s="59"/>
      <c r="K360" s="59"/>
      <c r="L360" s="59"/>
      <c r="M360" s="59"/>
      <c r="N360" s="59"/>
      <c r="O360" s="59"/>
      <c r="P360" s="59"/>
      <c r="Q360" s="59">
        <f>SUM(Tablo2[[#This Row],[Ocak]:[Aralık]])</f>
        <v>0</v>
      </c>
    </row>
    <row r="361" spans="1:17" x14ac:dyDescent="0.3">
      <c r="A361" s="538"/>
      <c r="B361" s="56" t="s">
        <v>29</v>
      </c>
      <c r="C361" s="57" t="s">
        <v>6</v>
      </c>
      <c r="D361" s="57" t="s">
        <v>34</v>
      </c>
      <c r="E361" s="210"/>
      <c r="F361" s="108"/>
      <c r="G361" s="108"/>
      <c r="H361" s="59"/>
      <c r="I361" s="59"/>
      <c r="J361" s="59"/>
      <c r="K361" s="59"/>
      <c r="L361" s="59"/>
      <c r="M361" s="59"/>
      <c r="N361" s="59"/>
      <c r="O361" s="59"/>
      <c r="P361" s="59"/>
      <c r="Q361" s="59">
        <f>SUM(Tablo2[[#This Row],[Ocak]:[Aralık]])</f>
        <v>0</v>
      </c>
    </row>
    <row r="362" spans="1:17" x14ac:dyDescent="0.3">
      <c r="A362" s="538"/>
      <c r="B362" s="56" t="s">
        <v>29</v>
      </c>
      <c r="C362" s="57" t="s">
        <v>6</v>
      </c>
      <c r="D362" s="57" t="s">
        <v>37</v>
      </c>
      <c r="E362" s="210"/>
      <c r="F362" s="108"/>
      <c r="G362" s="108"/>
      <c r="H362" s="59"/>
      <c r="I362" s="59"/>
      <c r="J362" s="59"/>
      <c r="K362" s="59"/>
      <c r="L362" s="59"/>
      <c r="M362" s="59"/>
      <c r="N362" s="59"/>
      <c r="O362" s="59"/>
      <c r="P362" s="59"/>
      <c r="Q362" s="59">
        <f>SUM(Tablo2[[#This Row],[Ocak]:[Aralık]])</f>
        <v>0</v>
      </c>
    </row>
    <row r="363" spans="1:17" x14ac:dyDescent="0.3">
      <c r="A363" s="538"/>
      <c r="B363" s="56" t="s">
        <v>29</v>
      </c>
      <c r="C363" s="57" t="s">
        <v>6</v>
      </c>
      <c r="D363" s="57" t="s">
        <v>39</v>
      </c>
      <c r="E363" s="210"/>
      <c r="F363" s="108"/>
      <c r="G363" s="108"/>
      <c r="H363" s="59"/>
      <c r="I363" s="59"/>
      <c r="J363" s="59"/>
      <c r="K363" s="59"/>
      <c r="L363" s="59"/>
      <c r="M363" s="59"/>
      <c r="N363" s="59"/>
      <c r="O363" s="59"/>
      <c r="P363" s="59"/>
      <c r="Q363" s="59">
        <f>SUM(Tablo2[[#This Row],[Ocak]:[Aralık]])</f>
        <v>0</v>
      </c>
    </row>
    <row r="364" spans="1:17" x14ac:dyDescent="0.3">
      <c r="A364" s="538"/>
      <c r="B364" s="56" t="s">
        <v>29</v>
      </c>
      <c r="C364" s="57" t="s">
        <v>6</v>
      </c>
      <c r="D364" s="57" t="s">
        <v>42</v>
      </c>
      <c r="E364" s="210"/>
      <c r="F364" s="108"/>
      <c r="G364" s="108"/>
      <c r="H364" s="59"/>
      <c r="I364" s="59"/>
      <c r="J364" s="59"/>
      <c r="K364" s="59"/>
      <c r="L364" s="59"/>
      <c r="M364" s="59"/>
      <c r="N364" s="59"/>
      <c r="O364" s="59"/>
      <c r="P364" s="59"/>
      <c r="Q364" s="59">
        <f>SUM(Tablo2[[#This Row],[Ocak]:[Aralık]])</f>
        <v>0</v>
      </c>
    </row>
    <row r="365" spans="1:17" x14ac:dyDescent="0.3">
      <c r="A365" s="538"/>
      <c r="B365" s="56" t="s">
        <v>29</v>
      </c>
      <c r="C365" s="57" t="s">
        <v>6</v>
      </c>
      <c r="D365" s="57" t="s">
        <v>45</v>
      </c>
      <c r="E365" s="210"/>
      <c r="F365" s="108"/>
      <c r="G365" s="108"/>
      <c r="H365" s="59"/>
      <c r="I365" s="59"/>
      <c r="J365" s="59"/>
      <c r="K365" s="59"/>
      <c r="L365" s="59"/>
      <c r="M365" s="59"/>
      <c r="N365" s="59"/>
      <c r="O365" s="59"/>
      <c r="P365" s="59"/>
      <c r="Q365" s="59">
        <f>SUM(Tablo2[[#This Row],[Ocak]:[Aralık]])</f>
        <v>0</v>
      </c>
    </row>
    <row r="366" spans="1:17" x14ac:dyDescent="0.3">
      <c r="A366" s="538"/>
      <c r="B366" s="56" t="s">
        <v>29</v>
      </c>
      <c r="C366" s="57" t="s">
        <v>6</v>
      </c>
      <c r="D366" s="57" t="s">
        <v>48</v>
      </c>
      <c r="E366" s="210"/>
      <c r="F366" s="108"/>
      <c r="G366" s="108"/>
      <c r="H366" s="59"/>
      <c r="I366" s="59"/>
      <c r="J366" s="59"/>
      <c r="K366" s="59"/>
      <c r="L366" s="59"/>
      <c r="M366" s="59"/>
      <c r="N366" s="59"/>
      <c r="O366" s="59"/>
      <c r="P366" s="59"/>
      <c r="Q366" s="59">
        <f>SUM(Tablo2[[#This Row],[Ocak]:[Aralık]])</f>
        <v>0</v>
      </c>
    </row>
    <row r="367" spans="1:17" x14ac:dyDescent="0.3">
      <c r="A367" s="538"/>
      <c r="B367" s="56" t="s">
        <v>29</v>
      </c>
      <c r="C367" s="57" t="s">
        <v>6</v>
      </c>
      <c r="D367" s="57" t="s">
        <v>50</v>
      </c>
      <c r="E367" s="210"/>
      <c r="F367" s="108"/>
      <c r="G367" s="108"/>
      <c r="H367" s="59"/>
      <c r="I367" s="59"/>
      <c r="J367" s="59"/>
      <c r="K367" s="59"/>
      <c r="L367" s="59"/>
      <c r="M367" s="59"/>
      <c r="N367" s="59"/>
      <c r="O367" s="59"/>
      <c r="P367" s="59"/>
      <c r="Q367" s="59">
        <f>SUM(Tablo2[[#This Row],[Ocak]:[Aralık]])</f>
        <v>0</v>
      </c>
    </row>
    <row r="368" spans="1:17" x14ac:dyDescent="0.3">
      <c r="A368" s="538">
        <v>2</v>
      </c>
      <c r="B368" s="56" t="s">
        <v>29</v>
      </c>
      <c r="C368" s="57" t="s">
        <v>10</v>
      </c>
      <c r="D368" s="57" t="s">
        <v>7</v>
      </c>
      <c r="E368" s="210"/>
      <c r="F368" s="108"/>
      <c r="G368" s="108"/>
      <c r="H368" s="59"/>
      <c r="I368" s="59"/>
      <c r="J368" s="59"/>
      <c r="K368" s="59"/>
      <c r="L368" s="59"/>
      <c r="M368" s="59"/>
      <c r="N368" s="59"/>
      <c r="O368" s="59"/>
      <c r="P368" s="59"/>
      <c r="Q368" s="59">
        <f>SUM(Tablo2[[#This Row],[Ocak]:[Aralık]])</f>
        <v>0</v>
      </c>
    </row>
    <row r="369" spans="1:17" x14ac:dyDescent="0.3">
      <c r="A369" s="538"/>
      <c r="B369" s="56" t="s">
        <v>29</v>
      </c>
      <c r="C369" s="57" t="s">
        <v>10</v>
      </c>
      <c r="D369" s="57" t="s">
        <v>11</v>
      </c>
      <c r="E369" s="210"/>
      <c r="F369" s="108"/>
      <c r="G369" s="108"/>
      <c r="H369" s="59"/>
      <c r="I369" s="59"/>
      <c r="J369" s="59"/>
      <c r="K369" s="59"/>
      <c r="L369" s="59"/>
      <c r="M369" s="59"/>
      <c r="N369" s="59"/>
      <c r="O369" s="59"/>
      <c r="P369" s="59"/>
      <c r="Q369" s="59">
        <f>SUM(Tablo2[[#This Row],[Ocak]:[Aralık]])</f>
        <v>0</v>
      </c>
    </row>
    <row r="370" spans="1:17" x14ac:dyDescent="0.3">
      <c r="A370" s="538"/>
      <c r="B370" s="56" t="s">
        <v>29</v>
      </c>
      <c r="C370" s="57" t="s">
        <v>10</v>
      </c>
      <c r="D370" s="57" t="s">
        <v>15</v>
      </c>
      <c r="E370" s="210"/>
      <c r="F370" s="108"/>
      <c r="G370" s="108"/>
      <c r="H370" s="59"/>
      <c r="I370" s="59"/>
      <c r="J370" s="59">
        <v>350</v>
      </c>
      <c r="K370" s="59"/>
      <c r="L370" s="59"/>
      <c r="M370" s="59"/>
      <c r="N370" s="59"/>
      <c r="O370" s="59"/>
      <c r="P370" s="59"/>
      <c r="Q370" s="59">
        <f>SUM(Tablo2[[#This Row],[Ocak]:[Aralık]])</f>
        <v>350</v>
      </c>
    </row>
    <row r="371" spans="1:17" x14ac:dyDescent="0.3">
      <c r="A371" s="538"/>
      <c r="B371" s="56" t="s">
        <v>29</v>
      </c>
      <c r="C371" s="57" t="s">
        <v>10</v>
      </c>
      <c r="D371" s="57" t="s">
        <v>19</v>
      </c>
      <c r="E371" s="210"/>
      <c r="F371" s="108"/>
      <c r="G371" s="108"/>
      <c r="H371" s="59"/>
      <c r="I371" s="59"/>
      <c r="J371" s="59"/>
      <c r="K371" s="59"/>
      <c r="L371" s="59"/>
      <c r="M371" s="59"/>
      <c r="N371" s="59"/>
      <c r="O371" s="59"/>
      <c r="P371" s="59"/>
      <c r="Q371" s="59">
        <f>SUM(Tablo2[[#This Row],[Ocak]:[Aralık]])</f>
        <v>0</v>
      </c>
    </row>
    <row r="372" spans="1:17" x14ac:dyDescent="0.3">
      <c r="A372" s="538"/>
      <c r="B372" s="56" t="s">
        <v>29</v>
      </c>
      <c r="C372" s="57" t="s">
        <v>10</v>
      </c>
      <c r="D372" s="57" t="s">
        <v>22</v>
      </c>
      <c r="E372" s="210"/>
      <c r="F372" s="108"/>
      <c r="G372" s="108"/>
      <c r="H372" s="59"/>
      <c r="I372" s="59"/>
      <c r="J372" s="59"/>
      <c r="K372" s="59"/>
      <c r="L372" s="59"/>
      <c r="M372" s="59"/>
      <c r="N372" s="59"/>
      <c r="O372" s="59"/>
      <c r="P372" s="59"/>
      <c r="Q372" s="59">
        <f>SUM(Tablo2[[#This Row],[Ocak]:[Aralık]])</f>
        <v>0</v>
      </c>
    </row>
    <row r="373" spans="1:17" x14ac:dyDescent="0.3">
      <c r="A373" s="538"/>
      <c r="B373" s="56" t="s">
        <v>29</v>
      </c>
      <c r="C373" s="57" t="s">
        <v>10</v>
      </c>
      <c r="D373" s="57" t="s">
        <v>25</v>
      </c>
      <c r="E373" s="210"/>
      <c r="F373" s="108"/>
      <c r="G373" s="108"/>
      <c r="H373" s="59"/>
      <c r="I373" s="59"/>
      <c r="J373" s="59"/>
      <c r="K373" s="59"/>
      <c r="L373" s="59"/>
      <c r="M373" s="59"/>
      <c r="N373" s="59"/>
      <c r="O373" s="59"/>
      <c r="P373" s="59"/>
      <c r="Q373" s="59">
        <f>SUM(Tablo2[[#This Row],[Ocak]:[Aralık]])</f>
        <v>0</v>
      </c>
    </row>
    <row r="374" spans="1:17" x14ac:dyDescent="0.3">
      <c r="A374" s="538"/>
      <c r="B374" s="56" t="s">
        <v>29</v>
      </c>
      <c r="C374" s="57" t="s">
        <v>10</v>
      </c>
      <c r="D374" s="57" t="s">
        <v>28</v>
      </c>
      <c r="E374" s="210"/>
      <c r="F374" s="108"/>
      <c r="G374" s="108"/>
      <c r="H374" s="59"/>
      <c r="I374" s="59"/>
      <c r="J374" s="59"/>
      <c r="K374" s="59"/>
      <c r="L374" s="59"/>
      <c r="M374" s="59"/>
      <c r="N374" s="59"/>
      <c r="O374" s="59"/>
      <c r="P374" s="59"/>
      <c r="Q374" s="59">
        <f>SUM(Tablo2[[#This Row],[Ocak]:[Aralık]])</f>
        <v>0</v>
      </c>
    </row>
    <row r="375" spans="1:17" x14ac:dyDescent="0.3">
      <c r="A375" s="538"/>
      <c r="B375" s="56" t="s">
        <v>29</v>
      </c>
      <c r="C375" s="57" t="s">
        <v>10</v>
      </c>
      <c r="D375" s="57" t="s">
        <v>31</v>
      </c>
      <c r="E375" s="210"/>
      <c r="F375" s="108"/>
      <c r="G375" s="108"/>
      <c r="H375" s="59"/>
      <c r="I375" s="59"/>
      <c r="J375" s="59"/>
      <c r="K375" s="59"/>
      <c r="L375" s="59"/>
      <c r="M375" s="59"/>
      <c r="N375" s="59"/>
      <c r="O375" s="59"/>
      <c r="P375" s="59"/>
      <c r="Q375" s="59">
        <f>SUM(Tablo2[[#This Row],[Ocak]:[Aralık]])</f>
        <v>0</v>
      </c>
    </row>
    <row r="376" spans="1:17" x14ac:dyDescent="0.3">
      <c r="A376" s="538"/>
      <c r="B376" s="56" t="s">
        <v>29</v>
      </c>
      <c r="C376" s="57" t="s">
        <v>10</v>
      </c>
      <c r="D376" s="57" t="s">
        <v>34</v>
      </c>
      <c r="E376" s="210"/>
      <c r="F376" s="108"/>
      <c r="G376" s="108"/>
      <c r="H376" s="59"/>
      <c r="I376" s="59"/>
      <c r="J376" s="59"/>
      <c r="K376" s="59"/>
      <c r="L376" s="59"/>
      <c r="M376" s="59"/>
      <c r="N376" s="59"/>
      <c r="O376" s="59"/>
      <c r="P376" s="59"/>
      <c r="Q376" s="59">
        <f>SUM(Tablo2[[#This Row],[Ocak]:[Aralık]])</f>
        <v>0</v>
      </c>
    </row>
    <row r="377" spans="1:17" x14ac:dyDescent="0.3">
      <c r="A377" s="538"/>
      <c r="B377" s="56" t="s">
        <v>29</v>
      </c>
      <c r="C377" s="57" t="s">
        <v>10</v>
      </c>
      <c r="D377" s="57" t="s">
        <v>37</v>
      </c>
      <c r="E377" s="210"/>
      <c r="F377" s="108"/>
      <c r="G377" s="108"/>
      <c r="H377" s="59"/>
      <c r="I377" s="59"/>
      <c r="J377" s="59"/>
      <c r="K377" s="59"/>
      <c r="L377" s="59"/>
      <c r="M377" s="59"/>
      <c r="N377" s="59"/>
      <c r="O377" s="59"/>
      <c r="P377" s="59"/>
      <c r="Q377" s="59">
        <f>SUM(Tablo2[[#This Row],[Ocak]:[Aralık]])</f>
        <v>0</v>
      </c>
    </row>
    <row r="378" spans="1:17" x14ac:dyDescent="0.3">
      <c r="A378" s="538"/>
      <c r="B378" s="56" t="s">
        <v>29</v>
      </c>
      <c r="C378" s="57" t="s">
        <v>10</v>
      </c>
      <c r="D378" s="57" t="s">
        <v>39</v>
      </c>
      <c r="E378" s="210"/>
      <c r="F378" s="108"/>
      <c r="G378" s="108"/>
      <c r="H378" s="59"/>
      <c r="I378" s="59"/>
      <c r="J378" s="59"/>
      <c r="K378" s="59"/>
      <c r="L378" s="59"/>
      <c r="M378" s="59"/>
      <c r="N378" s="59"/>
      <c r="O378" s="59"/>
      <c r="P378" s="59"/>
      <c r="Q378" s="59">
        <f>SUM(Tablo2[[#This Row],[Ocak]:[Aralık]])</f>
        <v>0</v>
      </c>
    </row>
    <row r="379" spans="1:17" x14ac:dyDescent="0.3">
      <c r="A379" s="538"/>
      <c r="B379" s="56" t="s">
        <v>29</v>
      </c>
      <c r="C379" s="57" t="s">
        <v>10</v>
      </c>
      <c r="D379" s="57" t="s">
        <v>42</v>
      </c>
      <c r="E379" s="210"/>
      <c r="F379" s="108"/>
      <c r="G379" s="108"/>
      <c r="H379" s="59"/>
      <c r="I379" s="59"/>
      <c r="J379" s="59"/>
      <c r="K379" s="59"/>
      <c r="L379" s="59"/>
      <c r="M379" s="59"/>
      <c r="N379" s="59"/>
      <c r="O379" s="59"/>
      <c r="P379" s="59"/>
      <c r="Q379" s="59">
        <f>SUM(Tablo2[[#This Row],[Ocak]:[Aralık]])</f>
        <v>0</v>
      </c>
    </row>
    <row r="380" spans="1:17" x14ac:dyDescent="0.3">
      <c r="A380" s="538"/>
      <c r="B380" s="56" t="s">
        <v>29</v>
      </c>
      <c r="C380" s="57" t="s">
        <v>10</v>
      </c>
      <c r="D380" s="57" t="s">
        <v>45</v>
      </c>
      <c r="E380" s="210"/>
      <c r="F380" s="108"/>
      <c r="G380" s="108"/>
      <c r="H380" s="59"/>
      <c r="I380" s="59"/>
      <c r="J380" s="59"/>
      <c r="K380" s="59"/>
      <c r="L380" s="59"/>
      <c r="M380" s="59"/>
      <c r="N380" s="59"/>
      <c r="O380" s="59"/>
      <c r="P380" s="59"/>
      <c r="Q380" s="59">
        <f>SUM(Tablo2[[#This Row],[Ocak]:[Aralık]])</f>
        <v>0</v>
      </c>
    </row>
    <row r="381" spans="1:17" x14ac:dyDescent="0.3">
      <c r="A381" s="538"/>
      <c r="B381" s="56" t="s">
        <v>29</v>
      </c>
      <c r="C381" s="57" t="s">
        <v>10</v>
      </c>
      <c r="D381" s="57" t="s">
        <v>48</v>
      </c>
      <c r="E381" s="210"/>
      <c r="F381" s="108"/>
      <c r="G381" s="108"/>
      <c r="H381" s="59"/>
      <c r="I381" s="59"/>
      <c r="J381" s="59"/>
      <c r="K381" s="59"/>
      <c r="L381" s="59"/>
      <c r="M381" s="59"/>
      <c r="N381" s="59"/>
      <c r="O381" s="59"/>
      <c r="P381" s="59"/>
      <c r="Q381" s="59">
        <f>SUM(Tablo2[[#This Row],[Ocak]:[Aralık]])</f>
        <v>0</v>
      </c>
    </row>
    <row r="382" spans="1:17" x14ac:dyDescent="0.3">
      <c r="A382" s="538"/>
      <c r="B382" s="56" t="s">
        <v>29</v>
      </c>
      <c r="C382" s="57" t="s">
        <v>10</v>
      </c>
      <c r="D382" s="57" t="s">
        <v>50</v>
      </c>
      <c r="E382" s="210"/>
      <c r="F382" s="108"/>
      <c r="G382" s="108"/>
      <c r="H382" s="59"/>
      <c r="I382" s="59"/>
      <c r="J382" s="59"/>
      <c r="K382" s="59"/>
      <c r="L382" s="59"/>
      <c r="M382" s="59"/>
      <c r="N382" s="59"/>
      <c r="O382" s="59"/>
      <c r="P382" s="59"/>
      <c r="Q382" s="59">
        <f>SUM(Tablo2[[#This Row],[Ocak]:[Aralık]])</f>
        <v>0</v>
      </c>
    </row>
    <row r="383" spans="1:17" x14ac:dyDescent="0.25">
      <c r="A383" s="54">
        <v>5</v>
      </c>
      <c r="B383" s="56" t="s">
        <v>29</v>
      </c>
      <c r="C383" s="57" t="s">
        <v>14</v>
      </c>
      <c r="D383" s="57"/>
      <c r="E383" s="210"/>
      <c r="F383" s="108"/>
      <c r="G383" s="108"/>
      <c r="H383" s="59">
        <v>4335</v>
      </c>
      <c r="I383" s="380">
        <v>705</v>
      </c>
      <c r="J383" s="59">
        <v>4800</v>
      </c>
      <c r="K383" s="59"/>
      <c r="L383" s="59"/>
      <c r="M383" s="59">
        <v>7055</v>
      </c>
      <c r="N383" s="59"/>
      <c r="O383" s="59"/>
      <c r="P383" s="59"/>
      <c r="Q383" s="59">
        <f>SUM(Tablo2[[#This Row],[Ocak]:[Aralık]])</f>
        <v>16895</v>
      </c>
    </row>
    <row r="384" spans="1:17" x14ac:dyDescent="0.3">
      <c r="A384" s="54">
        <v>6</v>
      </c>
      <c r="B384" s="56" t="s">
        <v>29</v>
      </c>
      <c r="C384" s="57" t="s">
        <v>18</v>
      </c>
      <c r="D384" s="57"/>
      <c r="E384" s="210"/>
      <c r="F384" s="108"/>
      <c r="G384" s="108"/>
      <c r="H384" s="59"/>
      <c r="I384" s="59"/>
      <c r="J384" s="59"/>
      <c r="K384" s="59"/>
      <c r="L384" s="59"/>
      <c r="M384" s="59"/>
      <c r="N384" s="59"/>
      <c r="O384" s="59"/>
      <c r="P384" s="59"/>
      <c r="Q384" s="59">
        <f>SUM(Tablo2[[#This Row],[Ocak]:[Aralık]])</f>
        <v>0</v>
      </c>
    </row>
    <row r="385" spans="1:17" x14ac:dyDescent="0.3">
      <c r="A385" s="54">
        <v>7</v>
      </c>
      <c r="B385" s="56" t="s">
        <v>29</v>
      </c>
      <c r="C385" s="57" t="s">
        <v>21</v>
      </c>
      <c r="D385" s="57"/>
      <c r="E385" s="210"/>
      <c r="F385" s="108"/>
      <c r="G385" s="108"/>
      <c r="H385" s="59"/>
      <c r="I385" s="59"/>
      <c r="J385" s="59"/>
      <c r="K385" s="59"/>
      <c r="L385" s="59"/>
      <c r="M385" s="59">
        <v>260</v>
      </c>
      <c r="N385" s="59"/>
      <c r="O385" s="59"/>
      <c r="P385" s="59"/>
      <c r="Q385" s="59">
        <f>SUM(Tablo2[[#This Row],[Ocak]:[Aralık]])</f>
        <v>260</v>
      </c>
    </row>
    <row r="386" spans="1:17" x14ac:dyDescent="0.3">
      <c r="A386" s="54">
        <v>8</v>
      </c>
      <c r="B386" s="56" t="s">
        <v>29</v>
      </c>
      <c r="C386" s="57" t="s">
        <v>24</v>
      </c>
      <c r="D386" s="57"/>
      <c r="E386" s="210"/>
      <c r="F386" s="108"/>
      <c r="G386" s="108"/>
      <c r="H386" s="59"/>
      <c r="I386" s="59"/>
      <c r="J386" s="59"/>
      <c r="K386" s="59"/>
      <c r="L386" s="59"/>
      <c r="M386" s="59">
        <v>1980</v>
      </c>
      <c r="N386" s="59"/>
      <c r="O386" s="59"/>
      <c r="P386" s="59"/>
      <c r="Q386" s="59">
        <f>SUM(Tablo2[[#This Row],[Ocak]:[Aralık]])</f>
        <v>1980</v>
      </c>
    </row>
    <row r="387" spans="1:17" x14ac:dyDescent="0.3">
      <c r="A387" s="54">
        <v>9</v>
      </c>
      <c r="B387" s="56" t="s">
        <v>29</v>
      </c>
      <c r="C387" s="57" t="s">
        <v>27</v>
      </c>
      <c r="D387" s="57"/>
      <c r="E387" s="210"/>
      <c r="F387" s="108"/>
      <c r="G387" s="108"/>
      <c r="H387" s="59"/>
      <c r="I387" s="59"/>
      <c r="J387" s="59"/>
      <c r="K387" s="59"/>
      <c r="L387" s="59"/>
      <c r="M387" s="59"/>
      <c r="N387" s="59"/>
      <c r="O387" s="59"/>
      <c r="P387" s="59"/>
      <c r="Q387" s="59">
        <f>SUM(Tablo2[[#This Row],[Ocak]:[Aralık]])</f>
        <v>0</v>
      </c>
    </row>
    <row r="388" spans="1:17" x14ac:dyDescent="0.3">
      <c r="A388" s="54">
        <v>10</v>
      </c>
      <c r="B388" s="56" t="s">
        <v>29</v>
      </c>
      <c r="C388" s="57" t="s">
        <v>30</v>
      </c>
      <c r="D388" s="57"/>
      <c r="E388" s="210"/>
      <c r="F388" s="108"/>
      <c r="G388" s="108"/>
      <c r="H388" s="59"/>
      <c r="I388" s="59"/>
      <c r="J388" s="59"/>
      <c r="K388" s="59"/>
      <c r="L388" s="59"/>
      <c r="M388" s="59"/>
      <c r="N388" s="59"/>
      <c r="O388" s="59"/>
      <c r="P388" s="59"/>
      <c r="Q388" s="59">
        <f>SUM(Tablo2[[#This Row],[Ocak]:[Aralık]])</f>
        <v>0</v>
      </c>
    </row>
    <row r="389" spans="1:17" x14ac:dyDescent="0.3">
      <c r="A389" s="54">
        <v>11</v>
      </c>
      <c r="B389" s="56" t="s">
        <v>29</v>
      </c>
      <c r="C389" s="57" t="s">
        <v>33</v>
      </c>
      <c r="D389" s="57"/>
      <c r="E389" s="210"/>
      <c r="F389" s="108"/>
      <c r="G389" s="108"/>
      <c r="H389" s="59"/>
      <c r="I389" s="59"/>
      <c r="J389" s="59"/>
      <c r="K389" s="59"/>
      <c r="L389" s="59"/>
      <c r="M389" s="59"/>
      <c r="N389" s="59"/>
      <c r="O389" s="59"/>
      <c r="P389" s="59"/>
      <c r="Q389" s="59">
        <f>SUM(Tablo2[[#This Row],[Ocak]:[Aralık]])</f>
        <v>0</v>
      </c>
    </row>
    <row r="390" spans="1:17" x14ac:dyDescent="0.3">
      <c r="A390" s="54">
        <v>12</v>
      </c>
      <c r="B390" s="56" t="s">
        <v>29</v>
      </c>
      <c r="C390" s="57" t="s">
        <v>36</v>
      </c>
      <c r="D390" s="57"/>
      <c r="E390" s="210"/>
      <c r="F390" s="108"/>
      <c r="G390" s="108"/>
      <c r="H390" s="59"/>
      <c r="I390" s="59"/>
      <c r="J390" s="59"/>
      <c r="K390" s="59"/>
      <c r="L390" s="59"/>
      <c r="M390" s="59"/>
      <c r="N390" s="59"/>
      <c r="O390" s="59"/>
      <c r="P390" s="59"/>
      <c r="Q390" s="59">
        <f>SUM(Tablo2[[#This Row],[Ocak]:[Aralık]])</f>
        <v>0</v>
      </c>
    </row>
    <row r="391" spans="1:17" x14ac:dyDescent="0.3">
      <c r="A391" s="54">
        <v>13</v>
      </c>
      <c r="B391" s="56" t="s">
        <v>29</v>
      </c>
      <c r="C391" s="57" t="s">
        <v>38</v>
      </c>
      <c r="D391" s="57"/>
      <c r="E391" s="210"/>
      <c r="F391" s="108"/>
      <c r="G391" s="108"/>
      <c r="H391" s="59"/>
      <c r="I391" s="59"/>
      <c r="J391" s="59"/>
      <c r="K391" s="59"/>
      <c r="L391" s="59"/>
      <c r="M391" s="59"/>
      <c r="N391" s="59"/>
      <c r="O391" s="59"/>
      <c r="P391" s="59"/>
      <c r="Q391" s="59">
        <f>SUM(Tablo2[[#This Row],[Ocak]:[Aralık]])</f>
        <v>0</v>
      </c>
    </row>
    <row r="392" spans="1:17" x14ac:dyDescent="0.3">
      <c r="A392" s="54">
        <v>14</v>
      </c>
      <c r="B392" s="56" t="s">
        <v>29</v>
      </c>
      <c r="C392" s="57" t="s">
        <v>41</v>
      </c>
      <c r="D392" s="57"/>
      <c r="E392" s="210"/>
      <c r="F392" s="108"/>
      <c r="G392" s="108"/>
      <c r="H392" s="59"/>
      <c r="I392" s="59"/>
      <c r="J392" s="59"/>
      <c r="K392" s="59"/>
      <c r="L392" s="59"/>
      <c r="M392" s="59"/>
      <c r="N392" s="59"/>
      <c r="O392" s="59"/>
      <c r="P392" s="59"/>
      <c r="Q392" s="59">
        <f>SUM(Tablo2[[#This Row],[Ocak]:[Aralık]])</f>
        <v>0</v>
      </c>
    </row>
    <row r="393" spans="1:17" x14ac:dyDescent="0.3">
      <c r="A393" s="54">
        <v>15</v>
      </c>
      <c r="B393" s="56" t="s">
        <v>29</v>
      </c>
      <c r="C393" s="57" t="s">
        <v>44</v>
      </c>
      <c r="D393" s="57"/>
      <c r="E393" s="210"/>
      <c r="F393" s="108"/>
      <c r="G393" s="108"/>
      <c r="H393" s="59"/>
      <c r="I393" s="59"/>
      <c r="J393" s="59"/>
      <c r="K393" s="59"/>
      <c r="L393" s="59"/>
      <c r="M393" s="59"/>
      <c r="N393" s="59"/>
      <c r="O393" s="59"/>
      <c r="P393" s="59"/>
      <c r="Q393" s="59">
        <f>SUM(Tablo2[[#This Row],[Ocak]:[Aralık]])</f>
        <v>0</v>
      </c>
    </row>
    <row r="394" spans="1:17" x14ac:dyDescent="0.3">
      <c r="A394" s="54">
        <v>16</v>
      </c>
      <c r="B394" s="56" t="s">
        <v>29</v>
      </c>
      <c r="C394" s="57" t="s">
        <v>47</v>
      </c>
      <c r="D394" s="57"/>
      <c r="E394" s="210"/>
      <c r="F394" s="108"/>
      <c r="G394" s="108"/>
      <c r="H394" s="59"/>
      <c r="I394" s="59"/>
      <c r="J394" s="59"/>
      <c r="K394" s="59"/>
      <c r="L394" s="59"/>
      <c r="M394" s="59"/>
      <c r="N394" s="59"/>
      <c r="O394" s="59"/>
      <c r="P394" s="59"/>
      <c r="Q394" s="59">
        <f>SUM(Tablo2[[#This Row],[Ocak]:[Aralık]])</f>
        <v>0</v>
      </c>
    </row>
    <row r="395" spans="1:17" x14ac:dyDescent="0.3">
      <c r="A395" s="54">
        <v>17</v>
      </c>
      <c r="B395" s="56" t="s">
        <v>29</v>
      </c>
      <c r="C395" s="57" t="s">
        <v>49</v>
      </c>
      <c r="D395" s="57"/>
      <c r="E395" s="210"/>
      <c r="F395" s="108"/>
      <c r="G395" s="108"/>
      <c r="H395" s="59"/>
      <c r="I395" s="59"/>
      <c r="J395" s="59"/>
      <c r="K395" s="59"/>
      <c r="L395" s="59"/>
      <c r="M395" s="59"/>
      <c r="N395" s="59"/>
      <c r="O395" s="59"/>
      <c r="P395" s="59"/>
      <c r="Q395" s="59">
        <f>SUM(Tablo2[[#This Row],[Ocak]:[Aralık]])</f>
        <v>0</v>
      </c>
    </row>
    <row r="396" spans="1:17" x14ac:dyDescent="0.3">
      <c r="A396" s="54">
        <v>18</v>
      </c>
      <c r="B396" s="56" t="s">
        <v>29</v>
      </c>
      <c r="C396" s="57" t="s">
        <v>51</v>
      </c>
      <c r="D396" s="57"/>
      <c r="E396" s="210"/>
      <c r="F396" s="108"/>
      <c r="G396" s="108"/>
      <c r="H396" s="59"/>
      <c r="I396" s="59"/>
      <c r="J396" s="59"/>
      <c r="K396" s="59"/>
      <c r="L396" s="59"/>
      <c r="M396" s="59"/>
      <c r="N396" s="59"/>
      <c r="O396" s="59"/>
      <c r="P396" s="59"/>
      <c r="Q396" s="59">
        <f>SUM(Tablo2[[#This Row],[Ocak]:[Aralık]])</f>
        <v>0</v>
      </c>
    </row>
    <row r="397" spans="1:17" x14ac:dyDescent="0.3">
      <c r="A397" s="54">
        <v>19</v>
      </c>
      <c r="B397" s="56" t="s">
        <v>29</v>
      </c>
      <c r="C397" s="57" t="s">
        <v>52</v>
      </c>
      <c r="D397" s="57"/>
      <c r="E397" s="210"/>
      <c r="F397" s="108"/>
      <c r="G397" s="108"/>
      <c r="H397" s="59"/>
      <c r="I397" s="59"/>
      <c r="J397" s="59"/>
      <c r="K397" s="59"/>
      <c r="L397" s="59"/>
      <c r="M397" s="59"/>
      <c r="N397" s="59"/>
      <c r="O397" s="59"/>
      <c r="P397" s="59"/>
      <c r="Q397" s="59">
        <f>SUM(Tablo2[[#This Row],[Ocak]:[Aralık]])</f>
        <v>0</v>
      </c>
    </row>
    <row r="398" spans="1:17" x14ac:dyDescent="0.3">
      <c r="A398" s="54">
        <v>20</v>
      </c>
      <c r="B398" s="56" t="s">
        <v>29</v>
      </c>
      <c r="C398" s="57" t="s">
        <v>53</v>
      </c>
      <c r="D398" s="57"/>
      <c r="E398" s="210"/>
      <c r="F398" s="108"/>
      <c r="G398" s="108"/>
      <c r="H398" s="59"/>
      <c r="I398" s="59"/>
      <c r="J398" s="59"/>
      <c r="K398" s="59"/>
      <c r="L398" s="59"/>
      <c r="M398" s="59"/>
      <c r="N398" s="59"/>
      <c r="O398" s="59"/>
      <c r="P398" s="59"/>
      <c r="Q398" s="59">
        <f>SUM(Tablo2[[#This Row],[Ocak]:[Aralık]])</f>
        <v>0</v>
      </c>
    </row>
    <row r="399" spans="1:17" x14ac:dyDescent="0.3">
      <c r="A399" s="54">
        <v>21</v>
      </c>
      <c r="B399" s="56" t="s">
        <v>29</v>
      </c>
      <c r="C399" s="57" t="s">
        <v>54</v>
      </c>
      <c r="D399" s="57"/>
      <c r="E399" s="210"/>
      <c r="F399" s="108"/>
      <c r="G399" s="108"/>
      <c r="H399" s="59"/>
      <c r="I399" s="59"/>
      <c r="J399" s="59"/>
      <c r="K399" s="59"/>
      <c r="L399" s="59"/>
      <c r="M399" s="59">
        <v>60</v>
      </c>
      <c r="N399" s="59"/>
      <c r="O399" s="59"/>
      <c r="P399" s="59"/>
      <c r="Q399" s="59">
        <f>SUM(Tablo2[[#This Row],[Ocak]:[Aralık]])</f>
        <v>60</v>
      </c>
    </row>
    <row r="400" spans="1:17" x14ac:dyDescent="0.3">
      <c r="A400" s="54">
        <v>22</v>
      </c>
      <c r="B400" s="56" t="s">
        <v>29</v>
      </c>
      <c r="C400" s="57" t="s">
        <v>55</v>
      </c>
      <c r="D400" s="57"/>
      <c r="E400" s="210"/>
      <c r="F400" s="108"/>
      <c r="G400" s="108"/>
      <c r="H400" s="59"/>
      <c r="I400" s="59"/>
      <c r="J400" s="59"/>
      <c r="K400" s="59"/>
      <c r="L400" s="59"/>
      <c r="M400" s="59"/>
      <c r="N400" s="59"/>
      <c r="O400" s="59"/>
      <c r="P400" s="59"/>
      <c r="Q400" s="59">
        <f>SUM(Tablo2[[#This Row],[Ocak]:[Aralık]])</f>
        <v>0</v>
      </c>
    </row>
    <row r="401" spans="1:17" x14ac:dyDescent="0.3">
      <c r="A401" s="54">
        <v>23</v>
      </c>
      <c r="B401" s="56" t="s">
        <v>29</v>
      </c>
      <c r="C401" s="57" t="s">
        <v>56</v>
      </c>
      <c r="D401" s="57"/>
      <c r="E401" s="210"/>
      <c r="F401" s="108"/>
      <c r="G401" s="108"/>
      <c r="H401" s="59"/>
      <c r="I401" s="59"/>
      <c r="J401" s="59"/>
      <c r="K401" s="59"/>
      <c r="L401" s="59"/>
      <c r="M401" s="59"/>
      <c r="N401" s="59"/>
      <c r="O401" s="59"/>
      <c r="P401" s="59"/>
      <c r="Q401" s="59">
        <f>SUM(Tablo2[[#This Row],[Ocak]:[Aralık]])</f>
        <v>0</v>
      </c>
    </row>
    <row r="402" spans="1:17" x14ac:dyDescent="0.3">
      <c r="A402" s="54">
        <v>24</v>
      </c>
      <c r="B402" s="56" t="s">
        <v>29</v>
      </c>
      <c r="C402" s="57" t="s">
        <v>57</v>
      </c>
      <c r="D402" s="57"/>
      <c r="E402" s="210"/>
      <c r="F402" s="108"/>
      <c r="G402" s="108"/>
      <c r="H402" s="59"/>
      <c r="I402" s="59"/>
      <c r="J402" s="59"/>
      <c r="K402" s="59"/>
      <c r="L402" s="59"/>
      <c r="M402" s="59"/>
      <c r="N402" s="59"/>
      <c r="O402" s="59"/>
      <c r="P402" s="59"/>
      <c r="Q402" s="59">
        <f>SUM(Tablo2[[#This Row],[Ocak]:[Aralık]])</f>
        <v>0</v>
      </c>
    </row>
    <row r="403" spans="1:17" x14ac:dyDescent="0.3">
      <c r="A403" s="538">
        <v>1</v>
      </c>
      <c r="B403" s="56" t="s">
        <v>43</v>
      </c>
      <c r="C403" s="57" t="s">
        <v>6</v>
      </c>
      <c r="D403" s="57" t="s">
        <v>7</v>
      </c>
      <c r="E403" s="210"/>
      <c r="F403" s="108"/>
      <c r="G403" s="108"/>
      <c r="H403" s="59"/>
      <c r="I403" s="59"/>
      <c r="J403" s="59"/>
      <c r="K403" s="59"/>
      <c r="L403" s="59"/>
      <c r="M403" s="59"/>
      <c r="N403" s="59"/>
      <c r="O403" s="59"/>
      <c r="P403" s="59"/>
      <c r="Q403" s="59">
        <f>SUM(Tablo2[[#This Row],[Ocak]:[Aralık]])</f>
        <v>0</v>
      </c>
    </row>
    <row r="404" spans="1:17" x14ac:dyDescent="0.3">
      <c r="A404" s="538"/>
      <c r="B404" s="56" t="s">
        <v>43</v>
      </c>
      <c r="C404" s="57" t="s">
        <v>6</v>
      </c>
      <c r="D404" s="57" t="s">
        <v>11</v>
      </c>
      <c r="E404" s="210"/>
      <c r="F404" s="108"/>
      <c r="G404" s="108"/>
      <c r="H404" s="59"/>
      <c r="I404" s="59"/>
      <c r="J404" s="59"/>
      <c r="K404" s="59"/>
      <c r="L404" s="59"/>
      <c r="M404" s="59"/>
      <c r="N404" s="59"/>
      <c r="O404" s="59"/>
      <c r="P404" s="59"/>
      <c r="Q404" s="59">
        <f>SUM(Tablo2[[#This Row],[Ocak]:[Aralık]])</f>
        <v>0</v>
      </c>
    </row>
    <row r="405" spans="1:17" x14ac:dyDescent="0.3">
      <c r="A405" s="538"/>
      <c r="B405" s="56" t="s">
        <v>43</v>
      </c>
      <c r="C405" s="57" t="s">
        <v>6</v>
      </c>
      <c r="D405" s="57" t="s">
        <v>15</v>
      </c>
      <c r="E405" s="210"/>
      <c r="F405" s="108"/>
      <c r="G405" s="108"/>
      <c r="H405" s="59"/>
      <c r="I405" s="59"/>
      <c r="J405" s="59"/>
      <c r="K405" s="59"/>
      <c r="L405" s="59"/>
      <c r="M405" s="59"/>
      <c r="N405" s="59"/>
      <c r="O405" s="59"/>
      <c r="P405" s="59"/>
      <c r="Q405" s="59">
        <f>SUM(Tablo2[[#This Row],[Ocak]:[Aralık]])</f>
        <v>0</v>
      </c>
    </row>
    <row r="406" spans="1:17" x14ac:dyDescent="0.3">
      <c r="A406" s="538"/>
      <c r="B406" s="56" t="s">
        <v>43</v>
      </c>
      <c r="C406" s="57" t="s">
        <v>6</v>
      </c>
      <c r="D406" s="57" t="s">
        <v>19</v>
      </c>
      <c r="E406" s="210"/>
      <c r="F406" s="108"/>
      <c r="G406" s="108"/>
      <c r="H406" s="59"/>
      <c r="I406" s="59"/>
      <c r="J406" s="59"/>
      <c r="K406" s="59"/>
      <c r="L406" s="59"/>
      <c r="M406" s="59"/>
      <c r="N406" s="59"/>
      <c r="O406" s="59"/>
      <c r="P406" s="59"/>
      <c r="Q406" s="59">
        <f>SUM(Tablo2[[#This Row],[Ocak]:[Aralık]])</f>
        <v>0</v>
      </c>
    </row>
    <row r="407" spans="1:17" x14ac:dyDescent="0.3">
      <c r="A407" s="538"/>
      <c r="B407" s="56" t="s">
        <v>43</v>
      </c>
      <c r="C407" s="57" t="s">
        <v>6</v>
      </c>
      <c r="D407" s="57" t="s">
        <v>22</v>
      </c>
      <c r="E407" s="210"/>
      <c r="F407" s="108"/>
      <c r="G407" s="108"/>
      <c r="H407" s="59"/>
      <c r="I407" s="59"/>
      <c r="J407" s="59"/>
      <c r="K407" s="59"/>
      <c r="L407" s="59"/>
      <c r="M407" s="59"/>
      <c r="N407" s="59"/>
      <c r="O407" s="59"/>
      <c r="P407" s="59"/>
      <c r="Q407" s="59">
        <f>SUM(Tablo2[[#This Row],[Ocak]:[Aralık]])</f>
        <v>0</v>
      </c>
    </row>
    <row r="408" spans="1:17" x14ac:dyDescent="0.3">
      <c r="A408" s="538"/>
      <c r="B408" s="56" t="s">
        <v>43</v>
      </c>
      <c r="C408" s="57" t="s">
        <v>6</v>
      </c>
      <c r="D408" s="57" t="s">
        <v>25</v>
      </c>
      <c r="E408" s="210"/>
      <c r="F408" s="108"/>
      <c r="G408" s="108"/>
      <c r="H408" s="59"/>
      <c r="I408" s="59"/>
      <c r="J408" s="59"/>
      <c r="K408" s="59"/>
      <c r="L408" s="59"/>
      <c r="M408" s="59"/>
      <c r="N408" s="59"/>
      <c r="O408" s="59"/>
      <c r="P408" s="59"/>
      <c r="Q408" s="59">
        <f>SUM(Tablo2[[#This Row],[Ocak]:[Aralık]])</f>
        <v>0</v>
      </c>
    </row>
    <row r="409" spans="1:17" x14ac:dyDescent="0.3">
      <c r="A409" s="538"/>
      <c r="B409" s="56" t="s">
        <v>43</v>
      </c>
      <c r="C409" s="57" t="s">
        <v>6</v>
      </c>
      <c r="D409" s="57" t="s">
        <v>28</v>
      </c>
      <c r="E409" s="210"/>
      <c r="F409" s="108"/>
      <c r="G409" s="108"/>
      <c r="H409" s="59"/>
      <c r="I409" s="59"/>
      <c r="J409" s="59"/>
      <c r="K409" s="59"/>
      <c r="L409" s="59"/>
      <c r="M409" s="59"/>
      <c r="N409" s="59"/>
      <c r="O409" s="59"/>
      <c r="P409" s="59"/>
      <c r="Q409" s="59">
        <f>SUM(Tablo2[[#This Row],[Ocak]:[Aralık]])</f>
        <v>0</v>
      </c>
    </row>
    <row r="410" spans="1:17" x14ac:dyDescent="0.3">
      <c r="A410" s="538"/>
      <c r="B410" s="56" t="s">
        <v>43</v>
      </c>
      <c r="C410" s="57" t="s">
        <v>6</v>
      </c>
      <c r="D410" s="57" t="s">
        <v>31</v>
      </c>
      <c r="E410" s="210"/>
      <c r="F410" s="108"/>
      <c r="G410" s="108"/>
      <c r="H410" s="59"/>
      <c r="I410" s="59"/>
      <c r="J410" s="59"/>
      <c r="K410" s="59"/>
      <c r="L410" s="59"/>
      <c r="M410" s="59"/>
      <c r="N410" s="59"/>
      <c r="O410" s="59"/>
      <c r="P410" s="59"/>
      <c r="Q410" s="59">
        <f>SUM(Tablo2[[#This Row],[Ocak]:[Aralık]])</f>
        <v>0</v>
      </c>
    </row>
    <row r="411" spans="1:17" x14ac:dyDescent="0.3">
      <c r="A411" s="538"/>
      <c r="B411" s="56" t="s">
        <v>43</v>
      </c>
      <c r="C411" s="57" t="s">
        <v>6</v>
      </c>
      <c r="D411" s="57" t="s">
        <v>34</v>
      </c>
      <c r="E411" s="210"/>
      <c r="F411" s="108"/>
      <c r="G411" s="108"/>
      <c r="H411" s="59"/>
      <c r="I411" s="59"/>
      <c r="J411" s="59"/>
      <c r="K411" s="59"/>
      <c r="L411" s="59"/>
      <c r="M411" s="59"/>
      <c r="N411" s="59"/>
      <c r="O411" s="59"/>
      <c r="P411" s="59"/>
      <c r="Q411" s="59">
        <f>SUM(Tablo2[[#This Row],[Ocak]:[Aralık]])</f>
        <v>0</v>
      </c>
    </row>
    <row r="412" spans="1:17" x14ac:dyDescent="0.3">
      <c r="A412" s="538"/>
      <c r="B412" s="56" t="s">
        <v>43</v>
      </c>
      <c r="C412" s="57" t="s">
        <v>6</v>
      </c>
      <c r="D412" s="57" t="s">
        <v>37</v>
      </c>
      <c r="E412" s="210"/>
      <c r="F412" s="108"/>
      <c r="G412" s="108"/>
      <c r="H412" s="59"/>
      <c r="I412" s="59"/>
      <c r="J412" s="59"/>
      <c r="K412" s="59"/>
      <c r="L412" s="59"/>
      <c r="M412" s="59"/>
      <c r="N412" s="59"/>
      <c r="O412" s="59"/>
      <c r="P412" s="59"/>
      <c r="Q412" s="59">
        <f>SUM(Tablo2[[#This Row],[Ocak]:[Aralık]])</f>
        <v>0</v>
      </c>
    </row>
    <row r="413" spans="1:17" x14ac:dyDescent="0.3">
      <c r="A413" s="538"/>
      <c r="B413" s="56" t="s">
        <v>43</v>
      </c>
      <c r="C413" s="57" t="s">
        <v>6</v>
      </c>
      <c r="D413" s="57" t="s">
        <v>39</v>
      </c>
      <c r="E413" s="210"/>
      <c r="F413" s="108"/>
      <c r="G413" s="108"/>
      <c r="H413" s="59"/>
      <c r="I413" s="59"/>
      <c r="J413" s="59"/>
      <c r="K413" s="59"/>
      <c r="L413" s="59"/>
      <c r="M413" s="59"/>
      <c r="N413" s="59"/>
      <c r="O413" s="59"/>
      <c r="P413" s="59"/>
      <c r="Q413" s="59">
        <f>SUM(Tablo2[[#This Row],[Ocak]:[Aralık]])</f>
        <v>0</v>
      </c>
    </row>
    <row r="414" spans="1:17" x14ac:dyDescent="0.3">
      <c r="A414" s="538"/>
      <c r="B414" s="56" t="s">
        <v>43</v>
      </c>
      <c r="C414" s="57" t="s">
        <v>6</v>
      </c>
      <c r="D414" s="57" t="s">
        <v>42</v>
      </c>
      <c r="E414" s="210"/>
      <c r="F414" s="108"/>
      <c r="G414" s="108"/>
      <c r="H414" s="59"/>
      <c r="I414" s="59"/>
      <c r="J414" s="59"/>
      <c r="K414" s="59"/>
      <c r="L414" s="59"/>
      <c r="M414" s="59"/>
      <c r="N414" s="59"/>
      <c r="O414" s="59"/>
      <c r="P414" s="59"/>
      <c r="Q414" s="59">
        <f>SUM(Tablo2[[#This Row],[Ocak]:[Aralık]])</f>
        <v>0</v>
      </c>
    </row>
    <row r="415" spans="1:17" x14ac:dyDescent="0.3">
      <c r="A415" s="538"/>
      <c r="B415" s="56" t="s">
        <v>43</v>
      </c>
      <c r="C415" s="57" t="s">
        <v>6</v>
      </c>
      <c r="D415" s="57" t="s">
        <v>45</v>
      </c>
      <c r="E415" s="210"/>
      <c r="F415" s="108"/>
      <c r="G415" s="108"/>
      <c r="H415" s="59"/>
      <c r="I415" s="59"/>
      <c r="J415" s="59"/>
      <c r="K415" s="59"/>
      <c r="L415" s="59"/>
      <c r="M415" s="59"/>
      <c r="N415" s="59"/>
      <c r="O415" s="59"/>
      <c r="P415" s="59"/>
      <c r="Q415" s="59">
        <f>SUM(Tablo2[[#This Row],[Ocak]:[Aralık]])</f>
        <v>0</v>
      </c>
    </row>
    <row r="416" spans="1:17" x14ac:dyDescent="0.3">
      <c r="A416" s="538"/>
      <c r="B416" s="56" t="s">
        <v>43</v>
      </c>
      <c r="C416" s="57" t="s">
        <v>6</v>
      </c>
      <c r="D416" s="57" t="s">
        <v>48</v>
      </c>
      <c r="E416" s="210"/>
      <c r="F416" s="108"/>
      <c r="G416" s="108"/>
      <c r="H416" s="59"/>
      <c r="I416" s="59"/>
      <c r="J416" s="59"/>
      <c r="K416" s="59"/>
      <c r="L416" s="59"/>
      <c r="M416" s="59"/>
      <c r="N416" s="59"/>
      <c r="O416" s="59"/>
      <c r="P416" s="59"/>
      <c r="Q416" s="59">
        <f>SUM(Tablo2[[#This Row],[Ocak]:[Aralık]])</f>
        <v>0</v>
      </c>
    </row>
    <row r="417" spans="1:17" x14ac:dyDescent="0.3">
      <c r="A417" s="538"/>
      <c r="B417" s="56" t="s">
        <v>43</v>
      </c>
      <c r="C417" s="57" t="s">
        <v>6</v>
      </c>
      <c r="D417" s="57" t="s">
        <v>50</v>
      </c>
      <c r="E417" s="210"/>
      <c r="F417" s="108"/>
      <c r="G417" s="108"/>
      <c r="H417" s="59"/>
      <c r="I417" s="59"/>
      <c r="J417" s="59"/>
      <c r="K417" s="59"/>
      <c r="L417" s="59"/>
      <c r="M417" s="59"/>
      <c r="N417" s="59"/>
      <c r="O417" s="59"/>
      <c r="P417" s="59"/>
      <c r="Q417" s="59">
        <f>SUM(Tablo2[[#This Row],[Ocak]:[Aralık]])</f>
        <v>0</v>
      </c>
    </row>
    <row r="418" spans="1:17" x14ac:dyDescent="0.3">
      <c r="A418" s="538">
        <v>2</v>
      </c>
      <c r="B418" s="56" t="s">
        <v>43</v>
      </c>
      <c r="C418" s="57" t="s">
        <v>10</v>
      </c>
      <c r="D418" s="57" t="s">
        <v>7</v>
      </c>
      <c r="E418" s="210"/>
      <c r="F418" s="108"/>
      <c r="G418" s="108"/>
      <c r="H418" s="59"/>
      <c r="I418" s="59"/>
      <c r="J418" s="59"/>
      <c r="K418" s="59"/>
      <c r="L418" s="59"/>
      <c r="M418" s="59"/>
      <c r="N418" s="59"/>
      <c r="O418" s="59"/>
      <c r="P418" s="59"/>
      <c r="Q418" s="59">
        <f>SUM(Tablo2[[#This Row],[Ocak]:[Aralık]])</f>
        <v>0</v>
      </c>
    </row>
    <row r="419" spans="1:17" x14ac:dyDescent="0.3">
      <c r="A419" s="538"/>
      <c r="B419" s="56" t="s">
        <v>43</v>
      </c>
      <c r="C419" s="57" t="s">
        <v>10</v>
      </c>
      <c r="D419" s="57" t="s">
        <v>11</v>
      </c>
      <c r="E419" s="210">
        <v>12160</v>
      </c>
      <c r="F419" s="108">
        <v>4580</v>
      </c>
      <c r="G419" s="108">
        <v>4735</v>
      </c>
      <c r="H419" s="59"/>
      <c r="I419" s="59">
        <v>1240</v>
      </c>
      <c r="J419" s="59"/>
      <c r="K419" s="59"/>
      <c r="L419" s="59"/>
      <c r="M419" s="59"/>
      <c r="N419" s="59"/>
      <c r="O419" s="59"/>
      <c r="P419" s="59"/>
      <c r="Q419" s="59">
        <f>SUM(Tablo2[[#This Row],[Ocak]:[Aralık]])</f>
        <v>22715</v>
      </c>
    </row>
    <row r="420" spans="1:17" x14ac:dyDescent="0.3">
      <c r="A420" s="538"/>
      <c r="B420" s="56" t="s">
        <v>43</v>
      </c>
      <c r="C420" s="57" t="s">
        <v>10</v>
      </c>
      <c r="D420" s="57" t="s">
        <v>15</v>
      </c>
      <c r="E420" s="210"/>
      <c r="F420" s="108"/>
      <c r="G420" s="108"/>
      <c r="H420" s="59">
        <v>4530</v>
      </c>
      <c r="I420" s="59"/>
      <c r="J420" s="59"/>
      <c r="K420" s="59"/>
      <c r="L420" s="59"/>
      <c r="M420" s="59"/>
      <c r="N420" s="59"/>
      <c r="O420" s="59"/>
      <c r="P420" s="59"/>
      <c r="Q420" s="59">
        <f>SUM(Tablo2[[#This Row],[Ocak]:[Aralık]])</f>
        <v>4530</v>
      </c>
    </row>
    <row r="421" spans="1:17" x14ac:dyDescent="0.3">
      <c r="A421" s="538"/>
      <c r="B421" s="56" t="s">
        <v>43</v>
      </c>
      <c r="C421" s="57" t="s">
        <v>10</v>
      </c>
      <c r="D421" s="57" t="s">
        <v>19</v>
      </c>
      <c r="E421" s="210"/>
      <c r="F421" s="108"/>
      <c r="G421" s="108"/>
      <c r="H421" s="59"/>
      <c r="I421" s="59"/>
      <c r="J421" s="59"/>
      <c r="K421" s="59"/>
      <c r="L421" s="59"/>
      <c r="M421" s="59"/>
      <c r="N421" s="59"/>
      <c r="O421" s="59"/>
      <c r="P421" s="59"/>
      <c r="Q421" s="59">
        <f>SUM(Tablo2[[#This Row],[Ocak]:[Aralık]])</f>
        <v>0</v>
      </c>
    </row>
    <row r="422" spans="1:17" x14ac:dyDescent="0.3">
      <c r="A422" s="538"/>
      <c r="B422" s="56" t="s">
        <v>43</v>
      </c>
      <c r="C422" s="57" t="s">
        <v>10</v>
      </c>
      <c r="D422" s="57" t="s">
        <v>22</v>
      </c>
      <c r="E422" s="210"/>
      <c r="F422" s="108"/>
      <c r="G422" s="108"/>
      <c r="H422" s="59"/>
      <c r="I422" s="59"/>
      <c r="J422" s="59"/>
      <c r="K422" s="59"/>
      <c r="L422" s="59"/>
      <c r="M422" s="59"/>
      <c r="N422" s="59"/>
      <c r="O422" s="59"/>
      <c r="P422" s="59"/>
      <c r="Q422" s="59">
        <f>SUM(Tablo2[[#This Row],[Ocak]:[Aralık]])</f>
        <v>0</v>
      </c>
    </row>
    <row r="423" spans="1:17" x14ac:dyDescent="0.3">
      <c r="A423" s="538"/>
      <c r="B423" s="56" t="s">
        <v>43</v>
      </c>
      <c r="C423" s="57" t="s">
        <v>10</v>
      </c>
      <c r="D423" s="57" t="s">
        <v>25</v>
      </c>
      <c r="E423" s="210"/>
      <c r="F423" s="108"/>
      <c r="G423" s="108"/>
      <c r="H423" s="59"/>
      <c r="I423" s="59"/>
      <c r="J423" s="59"/>
      <c r="K423" s="59"/>
      <c r="L423" s="59"/>
      <c r="M423" s="59"/>
      <c r="N423" s="59"/>
      <c r="O423" s="59"/>
      <c r="P423" s="59"/>
      <c r="Q423" s="59">
        <f>SUM(Tablo2[[#This Row],[Ocak]:[Aralık]])</f>
        <v>0</v>
      </c>
    </row>
    <row r="424" spans="1:17" x14ac:dyDescent="0.3">
      <c r="A424" s="538"/>
      <c r="B424" s="56" t="s">
        <v>43</v>
      </c>
      <c r="C424" s="57" t="s">
        <v>10</v>
      </c>
      <c r="D424" s="57" t="s">
        <v>28</v>
      </c>
      <c r="E424" s="210"/>
      <c r="F424" s="108"/>
      <c r="G424" s="108"/>
      <c r="H424" s="59"/>
      <c r="I424" s="59"/>
      <c r="J424" s="59"/>
      <c r="K424" s="59"/>
      <c r="L424" s="59"/>
      <c r="M424" s="59"/>
      <c r="N424" s="59"/>
      <c r="O424" s="59"/>
      <c r="P424" s="59"/>
      <c r="Q424" s="59">
        <f>SUM(Tablo2[[#This Row],[Ocak]:[Aralık]])</f>
        <v>0</v>
      </c>
    </row>
    <row r="425" spans="1:17" x14ac:dyDescent="0.3">
      <c r="A425" s="538"/>
      <c r="B425" s="56" t="s">
        <v>43</v>
      </c>
      <c r="C425" s="57" t="s">
        <v>10</v>
      </c>
      <c r="D425" s="57" t="s">
        <v>31</v>
      </c>
      <c r="E425" s="210"/>
      <c r="F425" s="108"/>
      <c r="G425" s="108"/>
      <c r="H425" s="59"/>
      <c r="I425" s="59"/>
      <c r="J425" s="59"/>
      <c r="K425" s="59"/>
      <c r="L425" s="59"/>
      <c r="M425" s="59"/>
      <c r="N425" s="59"/>
      <c r="O425" s="59"/>
      <c r="P425" s="59"/>
      <c r="Q425" s="59">
        <f>SUM(Tablo2[[#This Row],[Ocak]:[Aralık]])</f>
        <v>0</v>
      </c>
    </row>
    <row r="426" spans="1:17" x14ac:dyDescent="0.3">
      <c r="A426" s="538"/>
      <c r="B426" s="56" t="s">
        <v>43</v>
      </c>
      <c r="C426" s="57" t="s">
        <v>10</v>
      </c>
      <c r="D426" s="57" t="s">
        <v>34</v>
      </c>
      <c r="E426" s="210"/>
      <c r="F426" s="108"/>
      <c r="G426" s="108"/>
      <c r="H426" s="59"/>
      <c r="I426" s="59"/>
      <c r="J426" s="59"/>
      <c r="K426" s="59"/>
      <c r="L426" s="59"/>
      <c r="M426" s="59"/>
      <c r="N426" s="59"/>
      <c r="O426" s="59"/>
      <c r="P426" s="59"/>
      <c r="Q426" s="59">
        <f>SUM(Tablo2[[#This Row],[Ocak]:[Aralık]])</f>
        <v>0</v>
      </c>
    </row>
    <row r="427" spans="1:17" x14ac:dyDescent="0.3">
      <c r="A427" s="538"/>
      <c r="B427" s="56" t="s">
        <v>43</v>
      </c>
      <c r="C427" s="57" t="s">
        <v>10</v>
      </c>
      <c r="D427" s="57" t="s">
        <v>37</v>
      </c>
      <c r="E427" s="210"/>
      <c r="F427" s="108"/>
      <c r="G427" s="108"/>
      <c r="H427" s="59"/>
      <c r="I427" s="59"/>
      <c r="J427" s="59"/>
      <c r="K427" s="59"/>
      <c r="L427" s="59"/>
      <c r="M427" s="59"/>
      <c r="N427" s="59"/>
      <c r="O427" s="59"/>
      <c r="P427" s="59"/>
      <c r="Q427" s="59">
        <f>SUM(Tablo2[[#This Row],[Ocak]:[Aralık]])</f>
        <v>0</v>
      </c>
    </row>
    <row r="428" spans="1:17" x14ac:dyDescent="0.3">
      <c r="A428" s="538"/>
      <c r="B428" s="56" t="s">
        <v>43</v>
      </c>
      <c r="C428" s="57" t="s">
        <v>10</v>
      </c>
      <c r="D428" s="57" t="s">
        <v>39</v>
      </c>
      <c r="E428" s="210"/>
      <c r="F428" s="108"/>
      <c r="G428" s="108"/>
      <c r="H428" s="59"/>
      <c r="I428" s="59"/>
      <c r="J428" s="59"/>
      <c r="K428" s="59"/>
      <c r="L428" s="59"/>
      <c r="M428" s="59"/>
      <c r="N428" s="59"/>
      <c r="O428" s="59"/>
      <c r="P428" s="59"/>
      <c r="Q428" s="59">
        <f>SUM(Tablo2[[#This Row],[Ocak]:[Aralık]])</f>
        <v>0</v>
      </c>
    </row>
    <row r="429" spans="1:17" x14ac:dyDescent="0.3">
      <c r="A429" s="538"/>
      <c r="B429" s="56" t="s">
        <v>43</v>
      </c>
      <c r="C429" s="57" t="s">
        <v>10</v>
      </c>
      <c r="D429" s="57" t="s">
        <v>42</v>
      </c>
      <c r="E429" s="210"/>
      <c r="F429" s="108"/>
      <c r="G429" s="108"/>
      <c r="H429" s="59"/>
      <c r="I429" s="59"/>
      <c r="J429" s="59"/>
      <c r="K429" s="59"/>
      <c r="L429" s="59"/>
      <c r="M429" s="59"/>
      <c r="N429" s="59"/>
      <c r="O429" s="59"/>
      <c r="P429" s="59"/>
      <c r="Q429" s="59">
        <f>SUM(Tablo2[[#This Row],[Ocak]:[Aralık]])</f>
        <v>0</v>
      </c>
    </row>
    <row r="430" spans="1:17" x14ac:dyDescent="0.3">
      <c r="A430" s="538"/>
      <c r="B430" s="56" t="s">
        <v>43</v>
      </c>
      <c r="C430" s="57" t="s">
        <v>10</v>
      </c>
      <c r="D430" s="57" t="s">
        <v>45</v>
      </c>
      <c r="E430" s="210"/>
      <c r="F430" s="108"/>
      <c r="G430" s="108"/>
      <c r="H430" s="59"/>
      <c r="I430" s="59"/>
      <c r="J430" s="59"/>
      <c r="K430" s="59"/>
      <c r="L430" s="59"/>
      <c r="M430" s="59"/>
      <c r="N430" s="59"/>
      <c r="O430" s="59"/>
      <c r="P430" s="59"/>
      <c r="Q430" s="59">
        <f>SUM(Tablo2[[#This Row],[Ocak]:[Aralık]])</f>
        <v>0</v>
      </c>
    </row>
    <row r="431" spans="1:17" x14ac:dyDescent="0.3">
      <c r="A431" s="538"/>
      <c r="B431" s="56" t="s">
        <v>43</v>
      </c>
      <c r="C431" s="57" t="s">
        <v>10</v>
      </c>
      <c r="D431" s="57" t="s">
        <v>48</v>
      </c>
      <c r="E431" s="210"/>
      <c r="F431" s="108"/>
      <c r="G431" s="108"/>
      <c r="H431" s="59"/>
      <c r="I431" s="59"/>
      <c r="J431" s="59"/>
      <c r="K431" s="59"/>
      <c r="L431" s="59"/>
      <c r="M431" s="59"/>
      <c r="N431" s="59"/>
      <c r="O431" s="59"/>
      <c r="P431" s="59"/>
      <c r="Q431" s="59">
        <f>SUM(Tablo2[[#This Row],[Ocak]:[Aralık]])</f>
        <v>0</v>
      </c>
    </row>
    <row r="432" spans="1:17" x14ac:dyDescent="0.3">
      <c r="A432" s="538"/>
      <c r="B432" s="56" t="s">
        <v>43</v>
      </c>
      <c r="C432" s="57" t="s">
        <v>10</v>
      </c>
      <c r="D432" s="57" t="s">
        <v>50</v>
      </c>
      <c r="E432" s="210"/>
      <c r="F432" s="108">
        <v>600</v>
      </c>
      <c r="G432" s="108">
        <v>2000</v>
      </c>
      <c r="H432" s="59"/>
      <c r="I432" s="59"/>
      <c r="J432" s="59"/>
      <c r="K432" s="59"/>
      <c r="L432" s="59"/>
      <c r="M432" s="59">
        <v>1740</v>
      </c>
      <c r="N432" s="59"/>
      <c r="O432" s="59"/>
      <c r="P432" s="59"/>
      <c r="Q432" s="59">
        <f>SUM(Tablo2[[#This Row],[Ocak]:[Aralık]])</f>
        <v>4340</v>
      </c>
    </row>
    <row r="433" spans="1:17" x14ac:dyDescent="0.3">
      <c r="A433" s="54">
        <v>5</v>
      </c>
      <c r="B433" s="56" t="s">
        <v>43</v>
      </c>
      <c r="C433" s="57" t="s">
        <v>14</v>
      </c>
      <c r="D433" s="57"/>
      <c r="E433" s="210"/>
      <c r="F433" s="108"/>
      <c r="G433" s="108"/>
      <c r="H433" s="59">
        <v>2070</v>
      </c>
      <c r="I433" s="59">
        <v>4610</v>
      </c>
      <c r="J433" s="59"/>
      <c r="K433" s="59"/>
      <c r="L433" s="59"/>
      <c r="M433" s="59">
        <v>435</v>
      </c>
      <c r="N433" s="59"/>
      <c r="O433" s="59"/>
      <c r="P433" s="59"/>
      <c r="Q433" s="59">
        <f>SUM(Tablo2[[#This Row],[Ocak]:[Aralık]])</f>
        <v>7115</v>
      </c>
    </row>
    <row r="434" spans="1:17" x14ac:dyDescent="0.3">
      <c r="A434" s="54">
        <v>6</v>
      </c>
      <c r="B434" s="56" t="s">
        <v>43</v>
      </c>
      <c r="C434" s="57" t="s">
        <v>18</v>
      </c>
      <c r="D434" s="57"/>
      <c r="E434" s="210"/>
      <c r="F434" s="108"/>
      <c r="G434" s="108"/>
      <c r="H434" s="59"/>
      <c r="I434" s="59"/>
      <c r="J434" s="59"/>
      <c r="K434" s="59"/>
      <c r="L434" s="59"/>
      <c r="M434" s="59"/>
      <c r="N434" s="59"/>
      <c r="O434" s="59"/>
      <c r="P434" s="59"/>
      <c r="Q434" s="59">
        <f>SUM(Tablo2[[#This Row],[Ocak]:[Aralık]])</f>
        <v>0</v>
      </c>
    </row>
    <row r="435" spans="1:17" x14ac:dyDescent="0.3">
      <c r="A435" s="54">
        <v>7</v>
      </c>
      <c r="B435" s="56" t="s">
        <v>43</v>
      </c>
      <c r="C435" s="57" t="s">
        <v>21</v>
      </c>
      <c r="D435" s="57"/>
      <c r="E435" s="210"/>
      <c r="F435" s="108"/>
      <c r="G435" s="108"/>
      <c r="H435" s="59">
        <v>400</v>
      </c>
      <c r="I435" s="59"/>
      <c r="J435" s="59"/>
      <c r="K435" s="59"/>
      <c r="L435" s="59"/>
      <c r="M435" s="59"/>
      <c r="N435" s="59"/>
      <c r="O435" s="59"/>
      <c r="P435" s="59"/>
      <c r="Q435" s="59">
        <f>SUM(Tablo2[[#This Row],[Ocak]:[Aralık]])</f>
        <v>400</v>
      </c>
    </row>
    <row r="436" spans="1:17" x14ac:dyDescent="0.3">
      <c r="A436" s="54">
        <v>8</v>
      </c>
      <c r="B436" s="56" t="s">
        <v>43</v>
      </c>
      <c r="C436" s="57" t="s">
        <v>24</v>
      </c>
      <c r="D436" s="57"/>
      <c r="E436" s="210"/>
      <c r="F436" s="108"/>
      <c r="G436" s="108">
        <v>750</v>
      </c>
      <c r="H436" s="59"/>
      <c r="I436" s="59"/>
      <c r="J436" s="59"/>
      <c r="K436" s="59"/>
      <c r="L436" s="59"/>
      <c r="M436" s="59">
        <v>1825</v>
      </c>
      <c r="N436" s="59"/>
      <c r="O436" s="59"/>
      <c r="P436" s="59"/>
      <c r="Q436" s="59">
        <f>SUM(Tablo2[[#This Row],[Ocak]:[Aralık]])</f>
        <v>2575</v>
      </c>
    </row>
    <row r="437" spans="1:17" x14ac:dyDescent="0.3">
      <c r="A437" s="54">
        <v>9</v>
      </c>
      <c r="B437" s="56" t="s">
        <v>43</v>
      </c>
      <c r="C437" s="57" t="s">
        <v>27</v>
      </c>
      <c r="D437" s="57"/>
      <c r="E437" s="210"/>
      <c r="F437" s="108"/>
      <c r="G437" s="108"/>
      <c r="H437" s="59"/>
      <c r="I437" s="59"/>
      <c r="J437" s="59"/>
      <c r="K437" s="59"/>
      <c r="L437" s="59"/>
      <c r="M437" s="59"/>
      <c r="N437" s="59"/>
      <c r="O437" s="59"/>
      <c r="P437" s="59"/>
      <c r="Q437" s="59">
        <f>SUM(Tablo2[[#This Row],[Ocak]:[Aralık]])</f>
        <v>0</v>
      </c>
    </row>
    <row r="438" spans="1:17" x14ac:dyDescent="0.3">
      <c r="A438" s="54">
        <v>10</v>
      </c>
      <c r="B438" s="56" t="s">
        <v>43</v>
      </c>
      <c r="C438" s="57" t="s">
        <v>30</v>
      </c>
      <c r="D438" s="57"/>
      <c r="E438" s="210"/>
      <c r="F438" s="108"/>
      <c r="G438" s="108"/>
      <c r="H438" s="59"/>
      <c r="I438" s="59"/>
      <c r="J438" s="59"/>
      <c r="K438" s="59"/>
      <c r="L438" s="59"/>
      <c r="M438" s="59"/>
      <c r="N438" s="59"/>
      <c r="O438" s="59"/>
      <c r="P438" s="59"/>
      <c r="Q438" s="59">
        <f>SUM(Tablo2[[#This Row],[Ocak]:[Aralık]])</f>
        <v>0</v>
      </c>
    </row>
    <row r="439" spans="1:17" x14ac:dyDescent="0.3">
      <c r="A439" s="54">
        <v>11</v>
      </c>
      <c r="B439" s="56" t="s">
        <v>43</v>
      </c>
      <c r="C439" s="57" t="s">
        <v>33</v>
      </c>
      <c r="D439" s="57"/>
      <c r="E439" s="210"/>
      <c r="F439" s="108"/>
      <c r="G439" s="108"/>
      <c r="H439" s="59"/>
      <c r="I439" s="59"/>
      <c r="J439" s="59"/>
      <c r="K439" s="59"/>
      <c r="L439" s="59"/>
      <c r="M439" s="59"/>
      <c r="N439" s="59"/>
      <c r="O439" s="59"/>
      <c r="P439" s="59"/>
      <c r="Q439" s="59">
        <f>SUM(Tablo2[[#This Row],[Ocak]:[Aralık]])</f>
        <v>0</v>
      </c>
    </row>
    <row r="440" spans="1:17" x14ac:dyDescent="0.3">
      <c r="A440" s="54">
        <v>12</v>
      </c>
      <c r="B440" s="56" t="s">
        <v>43</v>
      </c>
      <c r="C440" s="57" t="s">
        <v>36</v>
      </c>
      <c r="D440" s="57"/>
      <c r="E440" s="210"/>
      <c r="F440" s="108"/>
      <c r="G440" s="108"/>
      <c r="H440" s="59"/>
      <c r="I440" s="59"/>
      <c r="J440" s="59"/>
      <c r="K440" s="59"/>
      <c r="L440" s="59"/>
      <c r="M440" s="59"/>
      <c r="N440" s="59"/>
      <c r="O440" s="59"/>
      <c r="P440" s="59"/>
      <c r="Q440" s="59">
        <f>SUM(Tablo2[[#This Row],[Ocak]:[Aralık]])</f>
        <v>0</v>
      </c>
    </row>
    <row r="441" spans="1:17" x14ac:dyDescent="0.3">
      <c r="A441" s="54">
        <v>13</v>
      </c>
      <c r="B441" s="56" t="s">
        <v>43</v>
      </c>
      <c r="C441" s="57" t="s">
        <v>38</v>
      </c>
      <c r="D441" s="57"/>
      <c r="E441" s="210"/>
      <c r="F441" s="108"/>
      <c r="G441" s="108"/>
      <c r="H441" s="59"/>
      <c r="I441" s="59"/>
      <c r="J441" s="59"/>
      <c r="K441" s="59"/>
      <c r="L441" s="59"/>
      <c r="M441" s="59"/>
      <c r="N441" s="59"/>
      <c r="O441" s="59"/>
      <c r="P441" s="59"/>
      <c r="Q441" s="59">
        <f>SUM(Tablo2[[#This Row],[Ocak]:[Aralık]])</f>
        <v>0</v>
      </c>
    </row>
    <row r="442" spans="1:17" x14ac:dyDescent="0.3">
      <c r="A442" s="54">
        <v>14</v>
      </c>
      <c r="B442" s="56" t="s">
        <v>43</v>
      </c>
      <c r="C442" s="57" t="s">
        <v>41</v>
      </c>
      <c r="D442" s="57"/>
      <c r="E442" s="210"/>
      <c r="F442" s="108"/>
      <c r="G442" s="108"/>
      <c r="H442" s="59"/>
      <c r="I442" s="59"/>
      <c r="J442" s="59"/>
      <c r="K442" s="59"/>
      <c r="L442" s="59"/>
      <c r="M442" s="59"/>
      <c r="N442" s="59"/>
      <c r="O442" s="59"/>
      <c r="P442" s="59"/>
      <c r="Q442" s="59">
        <f>SUM(Tablo2[[#This Row],[Ocak]:[Aralık]])</f>
        <v>0</v>
      </c>
    </row>
    <row r="443" spans="1:17" x14ac:dyDescent="0.3">
      <c r="A443" s="54">
        <v>15</v>
      </c>
      <c r="B443" s="56" t="s">
        <v>43</v>
      </c>
      <c r="C443" s="57" t="s">
        <v>44</v>
      </c>
      <c r="D443" s="57"/>
      <c r="E443" s="210"/>
      <c r="F443" s="108"/>
      <c r="G443" s="108"/>
      <c r="H443" s="59"/>
      <c r="I443" s="59"/>
      <c r="J443" s="59"/>
      <c r="K443" s="59"/>
      <c r="L443" s="59"/>
      <c r="M443" s="59"/>
      <c r="N443" s="59"/>
      <c r="O443" s="59"/>
      <c r="P443" s="59"/>
      <c r="Q443" s="59">
        <f>SUM(Tablo2[[#This Row],[Ocak]:[Aralık]])</f>
        <v>0</v>
      </c>
    </row>
    <row r="444" spans="1:17" x14ac:dyDescent="0.3">
      <c r="A444" s="54">
        <v>16</v>
      </c>
      <c r="B444" s="56" t="s">
        <v>43</v>
      </c>
      <c r="C444" s="57" t="s">
        <v>47</v>
      </c>
      <c r="D444" s="57"/>
      <c r="E444" s="210"/>
      <c r="F444" s="108"/>
      <c r="G444" s="108"/>
      <c r="H444" s="59"/>
      <c r="I444" s="59"/>
      <c r="J444" s="59"/>
      <c r="K444" s="59"/>
      <c r="L444" s="59"/>
      <c r="M444" s="59">
        <v>60</v>
      </c>
      <c r="N444" s="59"/>
      <c r="O444" s="59"/>
      <c r="P444" s="59"/>
      <c r="Q444" s="59">
        <f>SUM(Tablo2[[#This Row],[Ocak]:[Aralık]])</f>
        <v>60</v>
      </c>
    </row>
    <row r="445" spans="1:17" x14ac:dyDescent="0.3">
      <c r="A445" s="54">
        <v>17</v>
      </c>
      <c r="B445" s="56" t="s">
        <v>43</v>
      </c>
      <c r="C445" s="57" t="s">
        <v>49</v>
      </c>
      <c r="D445" s="57"/>
      <c r="E445" s="210"/>
      <c r="F445" s="108"/>
      <c r="G445" s="108"/>
      <c r="H445" s="59"/>
      <c r="I445" s="59"/>
      <c r="J445" s="59"/>
      <c r="K445" s="59"/>
      <c r="L445" s="59"/>
      <c r="M445" s="59"/>
      <c r="N445" s="59"/>
      <c r="O445" s="59"/>
      <c r="P445" s="59"/>
      <c r="Q445" s="59">
        <f>SUM(Tablo2[[#This Row],[Ocak]:[Aralık]])</f>
        <v>0</v>
      </c>
    </row>
    <row r="446" spans="1:17" x14ac:dyDescent="0.3">
      <c r="A446" s="54">
        <v>18</v>
      </c>
      <c r="B446" s="56" t="s">
        <v>43</v>
      </c>
      <c r="C446" s="57" t="s">
        <v>51</v>
      </c>
      <c r="D446" s="57"/>
      <c r="E446" s="210"/>
      <c r="F446" s="108"/>
      <c r="G446" s="108"/>
      <c r="H446" s="59"/>
      <c r="I446" s="59"/>
      <c r="J446" s="59"/>
      <c r="K446" s="59"/>
      <c r="L446" s="59"/>
      <c r="M446" s="59"/>
      <c r="N446" s="59"/>
      <c r="O446" s="59"/>
      <c r="P446" s="59"/>
      <c r="Q446" s="59">
        <f>SUM(Tablo2[[#This Row],[Ocak]:[Aralık]])</f>
        <v>0</v>
      </c>
    </row>
    <row r="447" spans="1:17" x14ac:dyDescent="0.3">
      <c r="A447" s="54">
        <v>19</v>
      </c>
      <c r="B447" s="56" t="s">
        <v>43</v>
      </c>
      <c r="C447" s="57" t="s">
        <v>52</v>
      </c>
      <c r="D447" s="57"/>
      <c r="E447" s="210"/>
      <c r="F447" s="108"/>
      <c r="G447" s="108"/>
      <c r="H447" s="59"/>
      <c r="I447" s="59"/>
      <c r="J447" s="59"/>
      <c r="K447" s="59"/>
      <c r="L447" s="59"/>
      <c r="M447" s="59"/>
      <c r="N447" s="59"/>
      <c r="O447" s="59"/>
      <c r="P447" s="59"/>
      <c r="Q447" s="59">
        <f>SUM(Tablo2[[#This Row],[Ocak]:[Aralık]])</f>
        <v>0</v>
      </c>
    </row>
    <row r="448" spans="1:17" x14ac:dyDescent="0.3">
      <c r="A448" s="54">
        <v>20</v>
      </c>
      <c r="B448" s="56" t="s">
        <v>43</v>
      </c>
      <c r="C448" s="57" t="s">
        <v>53</v>
      </c>
      <c r="D448" s="57"/>
      <c r="E448" s="210"/>
      <c r="F448" s="108">
        <v>30240</v>
      </c>
      <c r="G448" s="108">
        <v>40590</v>
      </c>
      <c r="H448" s="59"/>
      <c r="I448" s="59"/>
      <c r="J448" s="59"/>
      <c r="K448" s="59"/>
      <c r="L448" s="59"/>
      <c r="M448" s="59"/>
      <c r="N448" s="59"/>
      <c r="O448" s="59"/>
      <c r="P448" s="59"/>
      <c r="Q448" s="59">
        <f>SUM(Tablo2[[#This Row],[Ocak]:[Aralık]])</f>
        <v>70830</v>
      </c>
    </row>
    <row r="449" spans="1:17" x14ac:dyDescent="0.3">
      <c r="A449" s="54">
        <v>21</v>
      </c>
      <c r="B449" s="56" t="s">
        <v>43</v>
      </c>
      <c r="C449" s="57" t="s">
        <v>54</v>
      </c>
      <c r="D449" s="57"/>
      <c r="E449" s="210"/>
      <c r="F449" s="108"/>
      <c r="G449" s="108">
        <v>150</v>
      </c>
      <c r="H449" s="59">
        <v>40020</v>
      </c>
      <c r="I449" s="59">
        <v>18320</v>
      </c>
      <c r="J449" s="59"/>
      <c r="K449" s="59"/>
      <c r="L449" s="59"/>
      <c r="M449" s="59"/>
      <c r="N449" s="59"/>
      <c r="O449" s="59"/>
      <c r="P449" s="59"/>
      <c r="Q449" s="59">
        <f>SUM(Tablo2[[#This Row],[Ocak]:[Aralık]])</f>
        <v>58490</v>
      </c>
    </row>
    <row r="450" spans="1:17" x14ac:dyDescent="0.3">
      <c r="A450" s="54">
        <v>22</v>
      </c>
      <c r="B450" s="56" t="s">
        <v>43</v>
      </c>
      <c r="C450" s="57" t="s">
        <v>55</v>
      </c>
      <c r="D450" s="57"/>
      <c r="E450" s="210"/>
      <c r="F450" s="108"/>
      <c r="G450" s="108"/>
      <c r="H450" s="59"/>
      <c r="I450" s="59"/>
      <c r="J450" s="59"/>
      <c r="K450" s="59"/>
      <c r="L450" s="59"/>
      <c r="M450" s="59"/>
      <c r="N450" s="59"/>
      <c r="O450" s="59"/>
      <c r="P450" s="59"/>
      <c r="Q450" s="59">
        <f>SUM(Tablo2[[#This Row],[Ocak]:[Aralık]])</f>
        <v>0</v>
      </c>
    </row>
    <row r="451" spans="1:17" x14ac:dyDescent="0.3">
      <c r="A451" s="54">
        <v>23</v>
      </c>
      <c r="B451" s="56" t="s">
        <v>43</v>
      </c>
      <c r="C451" s="57" t="s">
        <v>56</v>
      </c>
      <c r="D451" s="57"/>
      <c r="E451" s="210"/>
      <c r="F451" s="108">
        <v>3900</v>
      </c>
      <c r="G451" s="108"/>
      <c r="H451" s="59"/>
      <c r="I451" s="59"/>
      <c r="J451" s="59"/>
      <c r="K451" s="59"/>
      <c r="L451" s="59"/>
      <c r="M451" s="59"/>
      <c r="N451" s="59"/>
      <c r="O451" s="59"/>
      <c r="P451" s="59"/>
      <c r="Q451" s="59">
        <f>SUM(Tablo2[[#This Row],[Ocak]:[Aralık]])</f>
        <v>3900</v>
      </c>
    </row>
    <row r="452" spans="1:17" x14ac:dyDescent="0.3">
      <c r="A452" s="54">
        <v>24</v>
      </c>
      <c r="B452" s="56" t="s">
        <v>43</v>
      </c>
      <c r="C452" s="57" t="s">
        <v>57</v>
      </c>
      <c r="D452" s="57"/>
      <c r="E452" s="210"/>
      <c r="F452" s="108"/>
      <c r="G452" s="108"/>
      <c r="H452" s="59"/>
      <c r="I452" s="59"/>
      <c r="J452" s="59"/>
      <c r="K452" s="59"/>
      <c r="L452" s="59"/>
      <c r="M452" s="59"/>
      <c r="N452" s="59"/>
      <c r="O452" s="59"/>
      <c r="P452" s="59"/>
      <c r="Q452" s="59">
        <f>SUM(Tablo2[[#This Row],[Ocak]:[Aralık]])</f>
        <v>0</v>
      </c>
    </row>
    <row r="453" spans="1:17" x14ac:dyDescent="0.3">
      <c r="A453" s="538">
        <v>1</v>
      </c>
      <c r="B453" s="56" t="s">
        <v>40</v>
      </c>
      <c r="C453" s="57" t="s">
        <v>6</v>
      </c>
      <c r="D453" s="57" t="s">
        <v>7</v>
      </c>
      <c r="E453" s="210"/>
      <c r="F453" s="108"/>
      <c r="G453" s="108"/>
      <c r="H453" s="59"/>
      <c r="I453" s="59"/>
      <c r="J453" s="59"/>
      <c r="K453" s="59"/>
      <c r="L453" s="59"/>
      <c r="M453" s="59"/>
      <c r="N453" s="59"/>
      <c r="O453" s="59"/>
      <c r="P453" s="59"/>
      <c r="Q453" s="59">
        <f>SUM(Tablo2[[#This Row],[Ocak]:[Aralık]])</f>
        <v>0</v>
      </c>
    </row>
    <row r="454" spans="1:17" x14ac:dyDescent="0.3">
      <c r="A454" s="538"/>
      <c r="B454" s="56" t="s">
        <v>40</v>
      </c>
      <c r="C454" s="57" t="s">
        <v>6</v>
      </c>
      <c r="D454" s="57" t="s">
        <v>11</v>
      </c>
      <c r="E454" s="210"/>
      <c r="F454" s="108"/>
      <c r="G454" s="108"/>
      <c r="H454" s="59"/>
      <c r="I454" s="59"/>
      <c r="J454" s="59"/>
      <c r="K454" s="59"/>
      <c r="L454" s="59"/>
      <c r="M454" s="59"/>
      <c r="N454" s="59"/>
      <c r="O454" s="59"/>
      <c r="P454" s="59"/>
      <c r="Q454" s="59">
        <f>SUM(Tablo2[[#This Row],[Ocak]:[Aralık]])</f>
        <v>0</v>
      </c>
    </row>
    <row r="455" spans="1:17" x14ac:dyDescent="0.3">
      <c r="A455" s="538"/>
      <c r="B455" s="56" t="s">
        <v>40</v>
      </c>
      <c r="C455" s="57" t="s">
        <v>6</v>
      </c>
      <c r="D455" s="57" t="s">
        <v>15</v>
      </c>
      <c r="E455" s="210"/>
      <c r="F455" s="108"/>
      <c r="G455" s="108"/>
      <c r="H455" s="59">
        <v>350</v>
      </c>
      <c r="I455" s="59"/>
      <c r="J455" s="59"/>
      <c r="K455" s="59">
        <v>1930</v>
      </c>
      <c r="L455" s="59"/>
      <c r="M455" s="59"/>
      <c r="N455" s="59"/>
      <c r="O455" s="59"/>
      <c r="P455" s="59"/>
      <c r="Q455" s="59">
        <f>SUM(Tablo2[[#This Row],[Ocak]:[Aralık]])</f>
        <v>2280</v>
      </c>
    </row>
    <row r="456" spans="1:17" x14ac:dyDescent="0.3">
      <c r="A456" s="538"/>
      <c r="B456" s="56" t="s">
        <v>40</v>
      </c>
      <c r="C456" s="57" t="s">
        <v>6</v>
      </c>
      <c r="D456" s="57" t="s">
        <v>19</v>
      </c>
      <c r="E456" s="210"/>
      <c r="F456" s="108"/>
      <c r="G456" s="108"/>
      <c r="H456" s="59"/>
      <c r="I456" s="59"/>
      <c r="J456" s="59"/>
      <c r="K456" s="59"/>
      <c r="L456" s="59"/>
      <c r="M456" s="59"/>
      <c r="N456" s="59"/>
      <c r="O456" s="59"/>
      <c r="P456" s="59"/>
      <c r="Q456" s="59">
        <f>SUM(Tablo2[[#This Row],[Ocak]:[Aralık]])</f>
        <v>0</v>
      </c>
    </row>
    <row r="457" spans="1:17" x14ac:dyDescent="0.3">
      <c r="A457" s="538"/>
      <c r="B457" s="56" t="s">
        <v>40</v>
      </c>
      <c r="C457" s="57" t="s">
        <v>6</v>
      </c>
      <c r="D457" s="57" t="s">
        <v>22</v>
      </c>
      <c r="E457" s="210"/>
      <c r="F457" s="108"/>
      <c r="G457" s="108"/>
      <c r="H457" s="59"/>
      <c r="I457" s="59"/>
      <c r="J457" s="59"/>
      <c r="K457" s="59"/>
      <c r="L457" s="59"/>
      <c r="M457" s="59"/>
      <c r="N457" s="59"/>
      <c r="O457" s="59"/>
      <c r="P457" s="59"/>
      <c r="Q457" s="59">
        <f>SUM(Tablo2[[#This Row],[Ocak]:[Aralık]])</f>
        <v>0</v>
      </c>
    </row>
    <row r="458" spans="1:17" x14ac:dyDescent="0.3">
      <c r="A458" s="538"/>
      <c r="B458" s="56" t="s">
        <v>40</v>
      </c>
      <c r="C458" s="57" t="s">
        <v>6</v>
      </c>
      <c r="D458" s="57" t="s">
        <v>25</v>
      </c>
      <c r="E458" s="210"/>
      <c r="F458" s="108"/>
      <c r="G458" s="108"/>
      <c r="H458" s="59"/>
      <c r="I458" s="59"/>
      <c r="J458" s="59"/>
      <c r="K458" s="59"/>
      <c r="L458" s="59"/>
      <c r="M458" s="59"/>
      <c r="N458" s="59"/>
      <c r="O458" s="59"/>
      <c r="P458" s="59"/>
      <c r="Q458" s="59">
        <f>SUM(Tablo2[[#This Row],[Ocak]:[Aralık]])</f>
        <v>0</v>
      </c>
    </row>
    <row r="459" spans="1:17" x14ac:dyDescent="0.3">
      <c r="A459" s="538"/>
      <c r="B459" s="56" t="s">
        <v>40</v>
      </c>
      <c r="C459" s="57" t="s">
        <v>6</v>
      </c>
      <c r="D459" s="57" t="s">
        <v>28</v>
      </c>
      <c r="E459" s="210"/>
      <c r="F459" s="108"/>
      <c r="G459" s="108"/>
      <c r="H459" s="59"/>
      <c r="I459" s="59"/>
      <c r="J459" s="59"/>
      <c r="K459" s="59"/>
      <c r="L459" s="59"/>
      <c r="M459" s="59"/>
      <c r="N459" s="59"/>
      <c r="O459" s="59"/>
      <c r="P459" s="59"/>
      <c r="Q459" s="59">
        <f>SUM(Tablo2[[#This Row],[Ocak]:[Aralık]])</f>
        <v>0</v>
      </c>
    </row>
    <row r="460" spans="1:17" x14ac:dyDescent="0.3">
      <c r="A460" s="538"/>
      <c r="B460" s="56" t="s">
        <v>40</v>
      </c>
      <c r="C460" s="57" t="s">
        <v>6</v>
      </c>
      <c r="D460" s="57" t="s">
        <v>31</v>
      </c>
      <c r="E460" s="210"/>
      <c r="F460" s="108"/>
      <c r="G460" s="108"/>
      <c r="H460" s="59"/>
      <c r="I460" s="59"/>
      <c r="J460" s="59"/>
      <c r="K460" s="59"/>
      <c r="L460" s="59"/>
      <c r="M460" s="59"/>
      <c r="N460" s="59"/>
      <c r="O460" s="59"/>
      <c r="P460" s="59"/>
      <c r="Q460" s="59">
        <f>SUM(Tablo2[[#This Row],[Ocak]:[Aralık]])</f>
        <v>0</v>
      </c>
    </row>
    <row r="461" spans="1:17" x14ac:dyDescent="0.3">
      <c r="A461" s="538"/>
      <c r="B461" s="56" t="s">
        <v>40</v>
      </c>
      <c r="C461" s="57" t="s">
        <v>6</v>
      </c>
      <c r="D461" s="57" t="s">
        <v>34</v>
      </c>
      <c r="E461" s="210"/>
      <c r="F461" s="108"/>
      <c r="G461" s="108"/>
      <c r="H461" s="59"/>
      <c r="I461" s="59"/>
      <c r="J461" s="59"/>
      <c r="K461" s="59"/>
      <c r="L461" s="59"/>
      <c r="M461" s="59"/>
      <c r="N461" s="59"/>
      <c r="O461" s="59"/>
      <c r="P461" s="59"/>
      <c r="Q461" s="59">
        <f>SUM(Tablo2[[#This Row],[Ocak]:[Aralık]])</f>
        <v>0</v>
      </c>
    </row>
    <row r="462" spans="1:17" x14ac:dyDescent="0.3">
      <c r="A462" s="538"/>
      <c r="B462" s="56" t="s">
        <v>40</v>
      </c>
      <c r="C462" s="57" t="s">
        <v>6</v>
      </c>
      <c r="D462" s="57" t="s">
        <v>37</v>
      </c>
      <c r="E462" s="210"/>
      <c r="F462" s="108"/>
      <c r="G462" s="108"/>
      <c r="H462" s="59"/>
      <c r="I462" s="59"/>
      <c r="J462" s="59"/>
      <c r="K462" s="59"/>
      <c r="L462" s="59"/>
      <c r="M462" s="59"/>
      <c r="N462" s="59"/>
      <c r="O462" s="59"/>
      <c r="P462" s="59"/>
      <c r="Q462" s="59">
        <f>SUM(Tablo2[[#This Row],[Ocak]:[Aralık]])</f>
        <v>0</v>
      </c>
    </row>
    <row r="463" spans="1:17" x14ac:dyDescent="0.3">
      <c r="A463" s="538"/>
      <c r="B463" s="56" t="s">
        <v>40</v>
      </c>
      <c r="C463" s="57" t="s">
        <v>6</v>
      </c>
      <c r="D463" s="57" t="s">
        <v>39</v>
      </c>
      <c r="E463" s="210"/>
      <c r="F463" s="108"/>
      <c r="G463" s="108"/>
      <c r="H463" s="59"/>
      <c r="I463" s="59"/>
      <c r="J463" s="59"/>
      <c r="K463" s="59"/>
      <c r="L463" s="59"/>
      <c r="M463" s="59"/>
      <c r="N463" s="59"/>
      <c r="O463" s="59"/>
      <c r="P463" s="59"/>
      <c r="Q463" s="59">
        <f>SUM(Tablo2[[#This Row],[Ocak]:[Aralık]])</f>
        <v>0</v>
      </c>
    </row>
    <row r="464" spans="1:17" x14ac:dyDescent="0.3">
      <c r="A464" s="538"/>
      <c r="B464" s="56" t="s">
        <v>40</v>
      </c>
      <c r="C464" s="57" t="s">
        <v>6</v>
      </c>
      <c r="D464" s="57" t="s">
        <v>42</v>
      </c>
      <c r="E464" s="210"/>
      <c r="F464" s="108"/>
      <c r="G464" s="108"/>
      <c r="H464" s="59"/>
      <c r="I464" s="59"/>
      <c r="J464" s="59"/>
      <c r="K464" s="59"/>
      <c r="L464" s="59"/>
      <c r="M464" s="59"/>
      <c r="N464" s="59"/>
      <c r="O464" s="59"/>
      <c r="P464" s="59"/>
      <c r="Q464" s="59">
        <f>SUM(Tablo2[[#This Row],[Ocak]:[Aralık]])</f>
        <v>0</v>
      </c>
    </row>
    <row r="465" spans="1:24" x14ac:dyDescent="0.3">
      <c r="A465" s="538"/>
      <c r="B465" s="56" t="s">
        <v>40</v>
      </c>
      <c r="C465" s="57" t="s">
        <v>6</v>
      </c>
      <c r="D465" s="57" t="s">
        <v>45</v>
      </c>
      <c r="E465" s="210"/>
      <c r="F465" s="108"/>
      <c r="G465" s="108"/>
      <c r="H465" s="59"/>
      <c r="I465" s="59"/>
      <c r="J465" s="59"/>
      <c r="K465" s="59"/>
      <c r="L465" s="59"/>
      <c r="M465" s="59"/>
      <c r="N465" s="59"/>
      <c r="O465" s="59"/>
      <c r="P465" s="59"/>
      <c r="Q465" s="59">
        <f>SUM(Tablo2[[#This Row],[Ocak]:[Aralık]])</f>
        <v>0</v>
      </c>
    </row>
    <row r="466" spans="1:24" x14ac:dyDescent="0.3">
      <c r="A466" s="538"/>
      <c r="B466" s="56" t="s">
        <v>40</v>
      </c>
      <c r="C466" s="57" t="s">
        <v>6</v>
      </c>
      <c r="D466" s="57" t="s">
        <v>48</v>
      </c>
      <c r="E466" s="210"/>
      <c r="F466" s="108"/>
      <c r="G466" s="108"/>
      <c r="H466" s="59"/>
      <c r="I466" s="59"/>
      <c r="J466" s="59"/>
      <c r="K466" s="59"/>
      <c r="L466" s="59"/>
      <c r="M466" s="59"/>
      <c r="N466" s="59"/>
      <c r="O466" s="59"/>
      <c r="P466" s="59"/>
      <c r="Q466" s="59">
        <f>SUM(Tablo2[[#This Row],[Ocak]:[Aralık]])</f>
        <v>0</v>
      </c>
    </row>
    <row r="467" spans="1:24" x14ac:dyDescent="0.3">
      <c r="A467" s="538"/>
      <c r="B467" s="56" t="s">
        <v>40</v>
      </c>
      <c r="C467" s="57" t="s">
        <v>6</v>
      </c>
      <c r="D467" s="57" t="s">
        <v>50</v>
      </c>
      <c r="E467" s="210"/>
      <c r="F467" s="108"/>
      <c r="G467" s="108"/>
      <c r="H467" s="59"/>
      <c r="I467" s="59"/>
      <c r="J467" s="59"/>
      <c r="K467" s="59"/>
      <c r="L467" s="59"/>
      <c r="M467" s="59">
        <v>180</v>
      </c>
      <c r="N467" s="59"/>
      <c r="O467" s="59"/>
      <c r="P467" s="59"/>
      <c r="Q467" s="59">
        <f>SUM(Tablo2[[#This Row],[Ocak]:[Aralık]])</f>
        <v>180</v>
      </c>
    </row>
    <row r="468" spans="1:24" x14ac:dyDescent="0.3">
      <c r="A468" s="538">
        <v>2</v>
      </c>
      <c r="B468" s="56" t="s">
        <v>40</v>
      </c>
      <c r="C468" s="57" t="s">
        <v>10</v>
      </c>
      <c r="D468" s="57" t="s">
        <v>7</v>
      </c>
      <c r="E468" s="210"/>
      <c r="F468" s="108"/>
      <c r="G468" s="108"/>
      <c r="H468" s="59"/>
      <c r="I468" s="59"/>
      <c r="J468" s="59"/>
      <c r="K468" s="59"/>
      <c r="L468" s="59"/>
      <c r="M468" s="59"/>
      <c r="N468" s="59"/>
      <c r="O468" s="59"/>
      <c r="P468" s="59"/>
      <c r="Q468" s="59">
        <f>SUM(Tablo2[[#This Row],[Ocak]:[Aralık]])</f>
        <v>0</v>
      </c>
    </row>
    <row r="469" spans="1:24" x14ac:dyDescent="0.3">
      <c r="A469" s="538"/>
      <c r="B469" s="56" t="s">
        <v>40</v>
      </c>
      <c r="C469" s="57" t="s">
        <v>10</v>
      </c>
      <c r="D469" s="57" t="s">
        <v>11</v>
      </c>
      <c r="E469" s="210"/>
      <c r="F469" s="108"/>
      <c r="G469" s="108"/>
      <c r="H469" s="59"/>
      <c r="I469" s="59"/>
      <c r="J469" s="59"/>
      <c r="K469" s="59"/>
      <c r="L469" s="59"/>
      <c r="M469" s="59"/>
      <c r="N469" s="59"/>
      <c r="O469" s="59"/>
      <c r="P469" s="59"/>
      <c r="Q469" s="59">
        <f>SUM(Tablo2[[#This Row],[Ocak]:[Aralık]])</f>
        <v>0</v>
      </c>
    </row>
    <row r="470" spans="1:24" x14ac:dyDescent="0.3">
      <c r="A470" s="538"/>
      <c r="B470" s="56" t="s">
        <v>40</v>
      </c>
      <c r="C470" s="57" t="s">
        <v>10</v>
      </c>
      <c r="D470" s="57" t="s">
        <v>15</v>
      </c>
      <c r="E470" s="210"/>
      <c r="F470" s="108"/>
      <c r="G470" s="108"/>
      <c r="H470" s="59"/>
      <c r="I470" s="59"/>
      <c r="J470" s="59"/>
      <c r="K470" s="59"/>
      <c r="L470" s="59"/>
      <c r="M470" s="59"/>
      <c r="N470" s="59"/>
      <c r="O470" s="59"/>
      <c r="P470" s="59"/>
      <c r="Q470" s="59">
        <f>SUM(Tablo2[[#This Row],[Ocak]:[Aralık]])</f>
        <v>0</v>
      </c>
    </row>
    <row r="471" spans="1:24" x14ac:dyDescent="0.3">
      <c r="A471" s="538"/>
      <c r="B471" s="56" t="s">
        <v>40</v>
      </c>
      <c r="C471" s="57" t="s">
        <v>10</v>
      </c>
      <c r="D471" s="57" t="s">
        <v>19</v>
      </c>
      <c r="E471" s="210"/>
      <c r="F471" s="108"/>
      <c r="G471" s="108"/>
      <c r="H471" s="59"/>
      <c r="I471" s="59"/>
      <c r="J471" s="59"/>
      <c r="K471" s="59"/>
      <c r="L471" s="59"/>
      <c r="M471" s="59"/>
      <c r="N471" s="59"/>
      <c r="O471" s="59"/>
      <c r="P471" s="59"/>
      <c r="Q471" s="59">
        <f>SUM(Tablo2[[#This Row],[Ocak]:[Aralık]])</f>
        <v>0</v>
      </c>
    </row>
    <row r="472" spans="1:24" x14ac:dyDescent="0.3">
      <c r="A472" s="538"/>
      <c r="B472" s="56" t="s">
        <v>40</v>
      </c>
      <c r="C472" s="57" t="s">
        <v>10</v>
      </c>
      <c r="D472" s="57" t="s">
        <v>22</v>
      </c>
      <c r="E472" s="210"/>
      <c r="F472" s="108"/>
      <c r="G472" s="108"/>
      <c r="H472" s="59"/>
      <c r="I472" s="59"/>
      <c r="J472" s="59"/>
      <c r="K472" s="59"/>
      <c r="L472" s="59"/>
      <c r="M472" s="59"/>
      <c r="N472" s="59"/>
      <c r="O472" s="59"/>
      <c r="P472" s="59"/>
      <c r="Q472" s="59">
        <f>SUM(Tablo2[[#This Row],[Ocak]:[Aralık]])</f>
        <v>0</v>
      </c>
    </row>
    <row r="473" spans="1:24" x14ac:dyDescent="0.3">
      <c r="A473" s="538"/>
      <c r="B473" s="56" t="s">
        <v>40</v>
      </c>
      <c r="C473" s="57" t="s">
        <v>10</v>
      </c>
      <c r="D473" s="57" t="s">
        <v>25</v>
      </c>
      <c r="E473" s="210"/>
      <c r="F473" s="108"/>
      <c r="G473" s="108"/>
      <c r="H473" s="59"/>
      <c r="I473" s="59"/>
      <c r="J473" s="59"/>
      <c r="K473" s="59"/>
      <c r="L473" s="59"/>
      <c r="M473" s="59"/>
      <c r="N473" s="59"/>
      <c r="O473" s="59"/>
      <c r="P473" s="59"/>
      <c r="Q473" s="59">
        <f>SUM(Tablo2[[#This Row],[Ocak]:[Aralık]])</f>
        <v>0</v>
      </c>
    </row>
    <row r="474" spans="1:24" x14ac:dyDescent="0.3">
      <c r="A474" s="538"/>
      <c r="B474" s="56" t="s">
        <v>40</v>
      </c>
      <c r="C474" s="57" t="s">
        <v>10</v>
      </c>
      <c r="D474" s="57" t="s">
        <v>28</v>
      </c>
      <c r="E474" s="210"/>
      <c r="F474" s="108"/>
      <c r="G474" s="108"/>
      <c r="H474" s="59"/>
      <c r="I474" s="59"/>
      <c r="J474" s="59"/>
      <c r="K474" s="59"/>
      <c r="L474" s="59"/>
      <c r="M474" s="59"/>
      <c r="N474" s="59"/>
      <c r="O474" s="59"/>
      <c r="P474" s="59"/>
      <c r="Q474" s="59">
        <f>SUM(Tablo2[[#This Row],[Ocak]:[Aralık]])</f>
        <v>0</v>
      </c>
    </row>
    <row r="475" spans="1:24" x14ac:dyDescent="0.3">
      <c r="A475" s="538"/>
      <c r="B475" s="56" t="s">
        <v>40</v>
      </c>
      <c r="C475" s="57" t="s">
        <v>10</v>
      </c>
      <c r="D475" s="57" t="s">
        <v>31</v>
      </c>
      <c r="E475" s="210"/>
      <c r="F475" s="108"/>
      <c r="G475" s="108"/>
      <c r="H475" s="59"/>
      <c r="I475" s="59"/>
      <c r="J475" s="59"/>
      <c r="K475" s="59"/>
      <c r="L475" s="59"/>
      <c r="M475" s="59"/>
      <c r="N475" s="59"/>
      <c r="O475" s="59"/>
      <c r="P475" s="59"/>
      <c r="Q475" s="59">
        <f>SUM(Tablo2[[#This Row],[Ocak]:[Aralık]])</f>
        <v>0</v>
      </c>
    </row>
    <row r="476" spans="1:24" x14ac:dyDescent="0.3">
      <c r="A476" s="538"/>
      <c r="B476" s="56" t="s">
        <v>40</v>
      </c>
      <c r="C476" s="57" t="s">
        <v>10</v>
      </c>
      <c r="D476" s="57" t="s">
        <v>34</v>
      </c>
      <c r="E476" s="210"/>
      <c r="F476" s="108">
        <v>800</v>
      </c>
      <c r="G476" s="108"/>
      <c r="H476" s="59"/>
      <c r="I476" s="59"/>
      <c r="J476" s="59"/>
      <c r="K476" s="59"/>
      <c r="L476" s="59"/>
      <c r="M476" s="59"/>
      <c r="N476" s="59"/>
      <c r="O476" s="59"/>
      <c r="P476" s="59"/>
      <c r="Q476" s="59">
        <f>SUM(Tablo2[[#This Row],[Ocak]:[Aralık]])</f>
        <v>800</v>
      </c>
    </row>
    <row r="477" spans="1:24" x14ac:dyDescent="0.3">
      <c r="A477" s="538"/>
      <c r="B477" s="56" t="s">
        <v>40</v>
      </c>
      <c r="C477" s="57" t="s">
        <v>10</v>
      </c>
      <c r="D477" s="57" t="s">
        <v>37</v>
      </c>
      <c r="E477" s="210"/>
      <c r="F477" s="108"/>
      <c r="G477" s="108"/>
      <c r="H477" s="59"/>
      <c r="I477" s="59"/>
      <c r="J477" s="59"/>
      <c r="K477" s="59"/>
      <c r="L477" s="59"/>
      <c r="M477" s="59"/>
      <c r="N477" s="59"/>
      <c r="O477" s="59"/>
      <c r="P477" s="59"/>
      <c r="Q477" s="59">
        <f>SUM(Tablo2[[#This Row],[Ocak]:[Aralık]])</f>
        <v>0</v>
      </c>
    </row>
    <row r="478" spans="1:24" x14ac:dyDescent="0.3">
      <c r="A478" s="538"/>
      <c r="B478" s="56" t="s">
        <v>40</v>
      </c>
      <c r="C478" s="57" t="s">
        <v>10</v>
      </c>
      <c r="D478" s="57" t="s">
        <v>39</v>
      </c>
      <c r="E478" s="210"/>
      <c r="F478" s="108"/>
      <c r="G478" s="108"/>
      <c r="H478" s="59"/>
      <c r="I478" s="59"/>
      <c r="J478" s="59"/>
      <c r="K478" s="59"/>
      <c r="L478" s="59"/>
      <c r="M478" s="59"/>
      <c r="N478" s="59"/>
      <c r="O478" s="59"/>
      <c r="P478" s="59"/>
      <c r="Q478" s="59">
        <f>SUM(Tablo2[[#This Row],[Ocak]:[Aralık]])</f>
        <v>0</v>
      </c>
    </row>
    <row r="479" spans="1:24" x14ac:dyDescent="0.3">
      <c r="A479" s="538"/>
      <c r="B479" s="56" t="s">
        <v>40</v>
      </c>
      <c r="C479" s="57" t="s">
        <v>10</v>
      </c>
      <c r="D479" s="57" t="s">
        <v>42</v>
      </c>
      <c r="E479" s="210"/>
      <c r="F479" s="108"/>
      <c r="G479" s="108"/>
      <c r="H479" s="59"/>
      <c r="I479" s="59"/>
      <c r="J479" s="59"/>
      <c r="K479" s="59"/>
      <c r="L479" s="59"/>
      <c r="M479" s="59"/>
      <c r="N479" s="59"/>
      <c r="O479" s="59"/>
      <c r="P479" s="59"/>
      <c r="Q479" s="59">
        <f>SUM(Tablo2[[#This Row],[Ocak]:[Aralık]])</f>
        <v>0</v>
      </c>
    </row>
    <row r="480" spans="1:24" x14ac:dyDescent="0.25">
      <c r="A480" s="538"/>
      <c r="B480" s="56" t="s">
        <v>40</v>
      </c>
      <c r="C480" s="57" t="s">
        <v>10</v>
      </c>
      <c r="D480" s="57" t="s">
        <v>45</v>
      </c>
      <c r="E480" s="210"/>
      <c r="F480" s="108"/>
      <c r="G480" s="108"/>
      <c r="H480" s="59"/>
      <c r="I480" s="59"/>
      <c r="J480" s="59"/>
      <c r="K480" s="59"/>
      <c r="L480" s="59"/>
      <c r="M480" s="59"/>
      <c r="N480" s="59"/>
      <c r="O480" s="59"/>
      <c r="P480" s="59"/>
      <c r="Q480" s="59">
        <f>SUM(Tablo2[[#This Row],[Ocak]:[Aralık]])</f>
        <v>0</v>
      </c>
      <c r="U480" s="448"/>
      <c r="V480" s="449"/>
      <c r="W480" s="370"/>
      <c r="X480" s="419"/>
    </row>
    <row r="481" spans="1:24" x14ac:dyDescent="0.25">
      <c r="A481" s="538"/>
      <c r="B481" s="56" t="s">
        <v>40</v>
      </c>
      <c r="C481" s="57" t="s">
        <v>10</v>
      </c>
      <c r="D481" s="57" t="s">
        <v>48</v>
      </c>
      <c r="E481" s="210"/>
      <c r="F481" s="108"/>
      <c r="G481" s="108"/>
      <c r="H481" s="59"/>
      <c r="I481" s="59"/>
      <c r="J481" s="59"/>
      <c r="K481" s="59"/>
      <c r="L481" s="59"/>
      <c r="M481" s="59"/>
      <c r="N481" s="59"/>
      <c r="O481" s="59"/>
      <c r="P481" s="59"/>
      <c r="Q481" s="59">
        <f>SUM(Tablo2[[#This Row],[Ocak]:[Aralık]])</f>
        <v>0</v>
      </c>
      <c r="T481" s="449" t="s">
        <v>1064</v>
      </c>
      <c r="U481" s="370" t="s">
        <v>15</v>
      </c>
      <c r="V481" s="419">
        <v>1930</v>
      </c>
      <c r="W481" s="370"/>
      <c r="X481" s="419"/>
    </row>
    <row r="482" spans="1:24" x14ac:dyDescent="0.25">
      <c r="A482" s="538"/>
      <c r="B482" s="56" t="s">
        <v>40</v>
      </c>
      <c r="C482" s="57" t="s">
        <v>10</v>
      </c>
      <c r="D482" s="57" t="s">
        <v>50</v>
      </c>
      <c r="E482" s="210"/>
      <c r="F482" s="108"/>
      <c r="G482" s="108"/>
      <c r="H482" s="59"/>
      <c r="I482" s="59"/>
      <c r="J482" s="59"/>
      <c r="K482" s="59"/>
      <c r="L482" s="59"/>
      <c r="M482" s="59"/>
      <c r="N482" s="59"/>
      <c r="O482" s="59"/>
      <c r="P482" s="59"/>
      <c r="Q482" s="59">
        <f>SUM(Tablo2[[#This Row],[Ocak]:[Aralık]])</f>
        <v>0</v>
      </c>
      <c r="T482" s="449" t="s">
        <v>1065</v>
      </c>
      <c r="U482" s="370" t="s">
        <v>15</v>
      </c>
      <c r="V482" s="419">
        <v>2650</v>
      </c>
      <c r="W482" s="370"/>
      <c r="X482" s="419"/>
    </row>
    <row r="483" spans="1:24" x14ac:dyDescent="0.25">
      <c r="A483" s="54">
        <v>5</v>
      </c>
      <c r="B483" s="56" t="s">
        <v>40</v>
      </c>
      <c r="C483" s="57" t="s">
        <v>14</v>
      </c>
      <c r="D483" s="57"/>
      <c r="E483" s="210"/>
      <c r="F483" s="108"/>
      <c r="G483" s="108"/>
      <c r="H483" s="59"/>
      <c r="I483" s="59"/>
      <c r="J483" s="59"/>
      <c r="K483" s="59"/>
      <c r="L483" s="59"/>
      <c r="M483" s="59"/>
      <c r="N483" s="59"/>
      <c r="O483" s="59"/>
      <c r="P483" s="59"/>
      <c r="Q483" s="59">
        <f>SUM(Tablo2[[#This Row],[Ocak]:[Aralık]])</f>
        <v>0</v>
      </c>
      <c r="T483" s="449"/>
      <c r="U483" s="370" t="s">
        <v>25</v>
      </c>
      <c r="V483" s="419">
        <v>2800</v>
      </c>
      <c r="W483" s="370"/>
      <c r="X483" s="419"/>
    </row>
    <row r="484" spans="1:24" x14ac:dyDescent="0.25">
      <c r="A484" s="54">
        <v>6</v>
      </c>
      <c r="B484" s="56" t="s">
        <v>40</v>
      </c>
      <c r="C484" s="57" t="s">
        <v>18</v>
      </c>
      <c r="D484" s="57"/>
      <c r="E484" s="210"/>
      <c r="F484" s="108"/>
      <c r="G484" s="108"/>
      <c r="H484" s="59"/>
      <c r="I484" s="59"/>
      <c r="J484" s="59"/>
      <c r="K484" s="59"/>
      <c r="L484" s="59"/>
      <c r="M484" s="59"/>
      <c r="N484" s="59"/>
      <c r="O484" s="59"/>
      <c r="P484" s="59"/>
      <c r="Q484" s="59">
        <f>SUM(Tablo2[[#This Row],[Ocak]:[Aralık]])</f>
        <v>0</v>
      </c>
      <c r="T484" s="449"/>
      <c r="U484" s="370" t="s">
        <v>45</v>
      </c>
      <c r="V484" s="419">
        <v>500</v>
      </c>
      <c r="W484" s="370"/>
      <c r="X484" s="419"/>
    </row>
    <row r="485" spans="1:24" x14ac:dyDescent="0.25">
      <c r="A485" s="54">
        <v>7</v>
      </c>
      <c r="B485" s="56" t="s">
        <v>40</v>
      </c>
      <c r="C485" s="57" t="s">
        <v>21</v>
      </c>
      <c r="D485" s="57"/>
      <c r="E485" s="210">
        <v>8890</v>
      </c>
      <c r="F485" s="108">
        <v>5010</v>
      </c>
      <c r="G485" s="108">
        <v>240</v>
      </c>
      <c r="H485" s="59"/>
      <c r="I485" s="59"/>
      <c r="J485" s="59"/>
      <c r="K485" s="59"/>
      <c r="L485" s="59"/>
      <c r="M485" s="59"/>
      <c r="N485" s="59"/>
      <c r="O485" s="59"/>
      <c r="P485" s="59"/>
      <c r="Q485" s="59">
        <f>SUM(Tablo2[[#This Row],[Ocak]:[Aralık]])</f>
        <v>14140</v>
      </c>
      <c r="T485" s="449"/>
      <c r="U485" s="370" t="s">
        <v>22</v>
      </c>
      <c r="V485" s="419">
        <v>540</v>
      </c>
      <c r="W485" s="370"/>
      <c r="X485" s="419"/>
    </row>
    <row r="486" spans="1:24" x14ac:dyDescent="0.25">
      <c r="A486" s="54">
        <v>8</v>
      </c>
      <c r="B486" s="56" t="s">
        <v>40</v>
      </c>
      <c r="C486" s="57" t="s">
        <v>24</v>
      </c>
      <c r="D486" s="57"/>
      <c r="E486" s="210"/>
      <c r="F486" s="108"/>
      <c r="G486" s="108"/>
      <c r="H486" s="59">
        <v>5790</v>
      </c>
      <c r="I486" s="380">
        <v>7500</v>
      </c>
      <c r="J486" s="59">
        <v>10470</v>
      </c>
      <c r="K486" s="59">
        <v>7000</v>
      </c>
      <c r="L486" s="59"/>
      <c r="M486" s="59">
        <v>9680</v>
      </c>
      <c r="N486" s="59"/>
      <c r="O486" s="59"/>
      <c r="P486" s="59"/>
      <c r="Q486" s="59">
        <f>SUM(Tablo2[[#This Row],[Ocak]:[Aralık]])</f>
        <v>40440</v>
      </c>
      <c r="T486" s="449"/>
      <c r="U486" s="370" t="s">
        <v>19</v>
      </c>
      <c r="V486" s="419">
        <v>510</v>
      </c>
      <c r="W486" s="370"/>
      <c r="X486" s="419"/>
    </row>
    <row r="487" spans="1:24" x14ac:dyDescent="0.25">
      <c r="A487" s="54">
        <v>9</v>
      </c>
      <c r="B487" s="56" t="s">
        <v>40</v>
      </c>
      <c r="C487" s="57" t="s">
        <v>27</v>
      </c>
      <c r="D487" s="57"/>
      <c r="E487" s="210"/>
      <c r="F487" s="108"/>
      <c r="G487" s="108"/>
      <c r="H487" s="59"/>
      <c r="I487" s="59"/>
      <c r="J487" s="59"/>
      <c r="K487" s="59"/>
      <c r="L487" s="59"/>
      <c r="M487" s="59"/>
      <c r="N487" s="59"/>
      <c r="O487" s="59"/>
      <c r="P487" s="59"/>
      <c r="Q487" s="59">
        <f>SUM(Tablo2[[#This Row],[Ocak]:[Aralık]])</f>
        <v>0</v>
      </c>
      <c r="T487" s="449" t="s">
        <v>1060</v>
      </c>
      <c r="U487" s="370" t="s">
        <v>24</v>
      </c>
      <c r="V487" s="419">
        <v>7000</v>
      </c>
      <c r="W487" s="370"/>
      <c r="X487" s="419"/>
    </row>
    <row r="488" spans="1:24" x14ac:dyDescent="0.25">
      <c r="A488" s="54">
        <v>10</v>
      </c>
      <c r="B488" s="56" t="s">
        <v>40</v>
      </c>
      <c r="C488" s="57" t="s">
        <v>30</v>
      </c>
      <c r="D488" s="57"/>
      <c r="E488" s="210"/>
      <c r="F488" s="108"/>
      <c r="G488" s="108"/>
      <c r="H488" s="59"/>
      <c r="I488" s="59"/>
      <c r="J488" s="59"/>
      <c r="K488" s="59"/>
      <c r="L488" s="59"/>
      <c r="M488" s="59"/>
      <c r="N488" s="59"/>
      <c r="O488" s="59"/>
      <c r="P488" s="59"/>
      <c r="Q488" s="59">
        <f>SUM(Tablo2[[#This Row],[Ocak]:[Aralık]])</f>
        <v>0</v>
      </c>
      <c r="T488" s="449" t="s">
        <v>1063</v>
      </c>
      <c r="U488" s="370" t="s">
        <v>54</v>
      </c>
      <c r="V488" s="419">
        <v>1080</v>
      </c>
      <c r="W488" s="370"/>
      <c r="X488" s="419"/>
    </row>
    <row r="489" spans="1:24" x14ac:dyDescent="0.25">
      <c r="A489" s="54">
        <v>11</v>
      </c>
      <c r="B489" s="56" t="s">
        <v>40</v>
      </c>
      <c r="C489" s="57" t="s">
        <v>33</v>
      </c>
      <c r="D489" s="57"/>
      <c r="E489" s="210">
        <v>370</v>
      </c>
      <c r="F489" s="108">
        <v>8760</v>
      </c>
      <c r="G489" s="108">
        <v>435</v>
      </c>
      <c r="H489" s="59"/>
      <c r="I489" s="59"/>
      <c r="J489" s="59"/>
      <c r="K489" s="59"/>
      <c r="L489" s="59"/>
      <c r="M489" s="59"/>
      <c r="N489" s="59"/>
      <c r="O489" s="59"/>
      <c r="P489" s="59"/>
      <c r="Q489" s="59">
        <f>SUM(Tablo2[[#This Row],[Ocak]:[Aralık]])</f>
        <v>9565</v>
      </c>
      <c r="T489" s="449" t="s">
        <v>1054</v>
      </c>
      <c r="U489" s="370" t="s">
        <v>1053</v>
      </c>
      <c r="V489" s="419">
        <v>12000</v>
      </c>
    </row>
    <row r="490" spans="1:24" x14ac:dyDescent="0.25">
      <c r="A490" s="54">
        <v>12</v>
      </c>
      <c r="B490" s="56" t="s">
        <v>40</v>
      </c>
      <c r="C490" s="57" t="s">
        <v>36</v>
      </c>
      <c r="D490" s="57"/>
      <c r="E490" s="210"/>
      <c r="F490" s="108"/>
      <c r="G490" s="108"/>
      <c r="H490" s="59">
        <v>8305</v>
      </c>
      <c r="I490" s="380">
        <v>8300</v>
      </c>
      <c r="J490" s="59">
        <v>11860</v>
      </c>
      <c r="K490" s="59"/>
      <c r="L490" s="59"/>
      <c r="M490" s="59">
        <v>865</v>
      </c>
      <c r="N490" s="59"/>
      <c r="O490" s="59"/>
      <c r="P490" s="59"/>
      <c r="Q490" s="59">
        <f>SUM(Tablo2[[#This Row],[Ocak]:[Aralık]])</f>
        <v>29330</v>
      </c>
    </row>
    <row r="491" spans="1:24" x14ac:dyDescent="0.3">
      <c r="A491" s="54">
        <v>13</v>
      </c>
      <c r="B491" s="56" t="s">
        <v>40</v>
      </c>
      <c r="C491" s="57" t="s">
        <v>38</v>
      </c>
      <c r="D491" s="57"/>
      <c r="E491" s="210"/>
      <c r="F491" s="108"/>
      <c r="G491" s="108"/>
      <c r="H491" s="59"/>
      <c r="I491" s="59"/>
      <c r="J491" s="59"/>
      <c r="K491" s="59"/>
      <c r="L491" s="59"/>
      <c r="M491" s="59"/>
      <c r="N491" s="59"/>
      <c r="O491" s="59"/>
      <c r="P491" s="59"/>
      <c r="Q491" s="59">
        <f>SUM(Tablo2[[#This Row],[Ocak]:[Aralık]])</f>
        <v>0</v>
      </c>
    </row>
    <row r="492" spans="1:24" x14ac:dyDescent="0.3">
      <c r="A492" s="54">
        <v>14</v>
      </c>
      <c r="B492" s="56" t="s">
        <v>40</v>
      </c>
      <c r="C492" s="57" t="s">
        <v>41</v>
      </c>
      <c r="D492" s="57"/>
      <c r="E492" s="210"/>
      <c r="F492" s="108"/>
      <c r="G492" s="108"/>
      <c r="H492" s="59"/>
      <c r="I492" s="59"/>
      <c r="J492" s="59"/>
      <c r="K492" s="59"/>
      <c r="L492" s="59"/>
      <c r="M492" s="59"/>
      <c r="N492" s="59"/>
      <c r="O492" s="59"/>
      <c r="P492" s="59"/>
      <c r="Q492" s="59">
        <f>SUM(Tablo2[[#This Row],[Ocak]:[Aralık]])</f>
        <v>0</v>
      </c>
    </row>
    <row r="493" spans="1:24" x14ac:dyDescent="0.3">
      <c r="A493" s="54">
        <v>15</v>
      </c>
      <c r="B493" s="56" t="s">
        <v>40</v>
      </c>
      <c r="C493" s="57" t="s">
        <v>44</v>
      </c>
      <c r="D493" s="57"/>
      <c r="E493" s="210"/>
      <c r="F493" s="108"/>
      <c r="G493" s="108"/>
      <c r="H493" s="59"/>
      <c r="I493" s="59"/>
      <c r="J493" s="59"/>
      <c r="K493" s="59"/>
      <c r="L493" s="59"/>
      <c r="M493" s="59"/>
      <c r="N493" s="59"/>
      <c r="O493" s="59"/>
      <c r="P493" s="59"/>
      <c r="Q493" s="59">
        <f>SUM(Tablo2[[#This Row],[Ocak]:[Aralık]])</f>
        <v>0</v>
      </c>
    </row>
    <row r="494" spans="1:24" x14ac:dyDescent="0.3">
      <c r="A494" s="54">
        <v>16</v>
      </c>
      <c r="B494" s="56" t="s">
        <v>40</v>
      </c>
      <c r="C494" s="57" t="s">
        <v>47</v>
      </c>
      <c r="D494" s="57"/>
      <c r="E494" s="210"/>
      <c r="F494" s="108"/>
      <c r="G494" s="108">
        <v>60</v>
      </c>
      <c r="H494" s="59"/>
      <c r="I494" s="59"/>
      <c r="J494" s="59"/>
      <c r="K494" s="59"/>
      <c r="L494" s="59"/>
      <c r="M494" s="59"/>
      <c r="N494" s="59"/>
      <c r="O494" s="59"/>
      <c r="P494" s="59"/>
      <c r="Q494" s="59">
        <f>SUM(Tablo2[[#This Row],[Ocak]:[Aralık]])</f>
        <v>60</v>
      </c>
    </row>
    <row r="495" spans="1:24" x14ac:dyDescent="0.3">
      <c r="A495" s="54">
        <v>17</v>
      </c>
      <c r="B495" s="56" t="s">
        <v>40</v>
      </c>
      <c r="C495" s="57" t="s">
        <v>49</v>
      </c>
      <c r="D495" s="57"/>
      <c r="E495" s="210"/>
      <c r="F495" s="108"/>
      <c r="G495" s="108"/>
      <c r="H495" s="59">
        <v>80</v>
      </c>
      <c r="I495" s="59"/>
      <c r="J495" s="59"/>
      <c r="K495" s="59"/>
      <c r="L495" s="59"/>
      <c r="M495" s="59"/>
      <c r="N495" s="59"/>
      <c r="O495" s="59"/>
      <c r="P495" s="59"/>
      <c r="Q495" s="59">
        <f>SUM(Tablo2[[#This Row],[Ocak]:[Aralık]])</f>
        <v>80</v>
      </c>
    </row>
    <row r="496" spans="1:24" x14ac:dyDescent="0.3">
      <c r="A496" s="54">
        <v>18</v>
      </c>
      <c r="B496" s="56" t="s">
        <v>40</v>
      </c>
      <c r="C496" s="57" t="s">
        <v>51</v>
      </c>
      <c r="D496" s="57"/>
      <c r="E496" s="210"/>
      <c r="F496" s="108"/>
      <c r="G496" s="108"/>
      <c r="H496" s="59"/>
      <c r="I496" s="59"/>
      <c r="J496" s="59"/>
      <c r="K496" s="59"/>
      <c r="L496" s="59"/>
      <c r="M496" s="59"/>
      <c r="N496" s="59"/>
      <c r="O496" s="59"/>
      <c r="P496" s="59"/>
      <c r="Q496" s="59">
        <f>SUM(Tablo2[[#This Row],[Ocak]:[Aralık]])</f>
        <v>0</v>
      </c>
    </row>
    <row r="497" spans="1:17" x14ac:dyDescent="0.3">
      <c r="A497" s="54">
        <v>19</v>
      </c>
      <c r="B497" s="56" t="s">
        <v>40</v>
      </c>
      <c r="C497" s="57" t="s">
        <v>52</v>
      </c>
      <c r="D497" s="57"/>
      <c r="E497" s="210"/>
      <c r="F497" s="108"/>
      <c r="G497" s="108"/>
      <c r="H497" s="59"/>
      <c r="I497" s="59"/>
      <c r="J497" s="59"/>
      <c r="K497" s="59"/>
      <c r="L497" s="59"/>
      <c r="M497" s="59"/>
      <c r="N497" s="59"/>
      <c r="O497" s="59"/>
      <c r="P497" s="59"/>
      <c r="Q497" s="59">
        <f>SUM(Tablo2[[#This Row],[Ocak]:[Aralık]])</f>
        <v>0</v>
      </c>
    </row>
    <row r="498" spans="1:17" x14ac:dyDescent="0.3">
      <c r="A498" s="54">
        <v>20</v>
      </c>
      <c r="B498" s="56" t="s">
        <v>40</v>
      </c>
      <c r="C498" s="57" t="s">
        <v>53</v>
      </c>
      <c r="D498" s="57"/>
      <c r="E498" s="210"/>
      <c r="F498" s="108"/>
      <c r="G498" s="108"/>
      <c r="H498" s="59"/>
      <c r="I498" s="59"/>
      <c r="J498" s="59"/>
      <c r="K498" s="59"/>
      <c r="L498" s="59"/>
      <c r="M498" s="59"/>
      <c r="N498" s="59"/>
      <c r="O498" s="59"/>
      <c r="P498" s="59"/>
      <c r="Q498" s="59">
        <f>SUM(Tablo2[[#This Row],[Ocak]:[Aralık]])</f>
        <v>0</v>
      </c>
    </row>
    <row r="499" spans="1:17" x14ac:dyDescent="0.3">
      <c r="A499" s="54">
        <v>21</v>
      </c>
      <c r="B499" s="56" t="s">
        <v>40</v>
      </c>
      <c r="C499" s="57" t="s">
        <v>54</v>
      </c>
      <c r="D499" s="57"/>
      <c r="E499" s="210"/>
      <c r="F499" s="108"/>
      <c r="G499" s="108"/>
      <c r="H499" s="59"/>
      <c r="I499" s="59"/>
      <c r="J499" s="59"/>
      <c r="K499" s="59">
        <v>1080</v>
      </c>
      <c r="L499" s="59"/>
      <c r="M499" s="59"/>
      <c r="N499" s="59"/>
      <c r="O499" s="59"/>
      <c r="P499" s="59"/>
      <c r="Q499" s="59">
        <f>SUM(Tablo2[[#This Row],[Ocak]:[Aralık]])</f>
        <v>1080</v>
      </c>
    </row>
    <row r="500" spans="1:17" x14ac:dyDescent="0.3">
      <c r="A500" s="54">
        <v>22</v>
      </c>
      <c r="B500" s="56" t="s">
        <v>40</v>
      </c>
      <c r="C500" s="57" t="s">
        <v>55</v>
      </c>
      <c r="D500" s="57"/>
      <c r="E500" s="210"/>
      <c r="F500" s="108"/>
      <c r="G500" s="108"/>
      <c r="H500" s="59"/>
      <c r="I500" s="59"/>
      <c r="J500" s="59"/>
      <c r="K500" s="59"/>
      <c r="L500" s="59"/>
      <c r="M500" s="59">
        <v>745</v>
      </c>
      <c r="N500" s="59"/>
      <c r="O500" s="59"/>
      <c r="P500" s="59"/>
      <c r="Q500" s="59">
        <f>SUM(Tablo2[[#This Row],[Ocak]:[Aralık]])</f>
        <v>745</v>
      </c>
    </row>
    <row r="501" spans="1:17" x14ac:dyDescent="0.3">
      <c r="A501" s="54">
        <v>23</v>
      </c>
      <c r="B501" s="56" t="s">
        <v>40</v>
      </c>
      <c r="C501" s="57" t="s">
        <v>56</v>
      </c>
      <c r="D501" s="57"/>
      <c r="E501" s="210"/>
      <c r="F501" s="108"/>
      <c r="G501" s="108"/>
      <c r="H501" s="59"/>
      <c r="I501" s="59"/>
      <c r="J501" s="59"/>
      <c r="K501" s="59"/>
      <c r="L501" s="59"/>
      <c r="M501" s="59"/>
      <c r="N501" s="59"/>
      <c r="O501" s="59"/>
      <c r="P501" s="59"/>
      <c r="Q501" s="59">
        <f>SUM(Tablo2[[#This Row],[Ocak]:[Aralık]])</f>
        <v>0</v>
      </c>
    </row>
    <row r="502" spans="1:17" x14ac:dyDescent="0.3">
      <c r="A502" s="54">
        <v>24</v>
      </c>
      <c r="B502" s="56" t="s">
        <v>40</v>
      </c>
      <c r="C502" s="57" t="s">
        <v>57</v>
      </c>
      <c r="D502" s="57"/>
      <c r="E502" s="210"/>
      <c r="F502" s="108"/>
      <c r="G502" s="108"/>
      <c r="H502" s="59"/>
      <c r="I502" s="59"/>
      <c r="J502" s="59"/>
      <c r="K502" s="59"/>
      <c r="L502" s="59"/>
      <c r="M502" s="59"/>
      <c r="N502" s="59"/>
      <c r="O502" s="59"/>
      <c r="P502" s="59"/>
      <c r="Q502" s="59">
        <f>SUM(Tablo2[[#This Row],[Ocak]:[Aralık]])</f>
        <v>0</v>
      </c>
    </row>
    <row r="503" spans="1:17" x14ac:dyDescent="0.3">
      <c r="A503" s="538">
        <v>1</v>
      </c>
      <c r="B503" s="56" t="s">
        <v>35</v>
      </c>
      <c r="C503" s="57" t="s">
        <v>6</v>
      </c>
      <c r="D503" s="57" t="s">
        <v>7</v>
      </c>
      <c r="E503" s="210"/>
      <c r="F503" s="108"/>
      <c r="G503" s="108"/>
      <c r="H503" s="59"/>
      <c r="I503" s="59"/>
      <c r="J503" s="59"/>
      <c r="K503" s="59"/>
      <c r="L503" s="59"/>
      <c r="M503" s="59"/>
      <c r="N503" s="59"/>
      <c r="O503" s="59"/>
      <c r="P503" s="59"/>
      <c r="Q503" s="59">
        <f>SUM(Tablo2[[#This Row],[Ocak]:[Aralık]])</f>
        <v>0</v>
      </c>
    </row>
    <row r="504" spans="1:17" x14ac:dyDescent="0.3">
      <c r="A504" s="538"/>
      <c r="B504" s="56" t="s">
        <v>35</v>
      </c>
      <c r="C504" s="57" t="s">
        <v>6</v>
      </c>
      <c r="D504" s="57" t="s">
        <v>11</v>
      </c>
      <c r="E504" s="210"/>
      <c r="F504" s="108"/>
      <c r="G504" s="108"/>
      <c r="H504" s="59"/>
      <c r="I504" s="59"/>
      <c r="J504" s="59"/>
      <c r="K504" s="59"/>
      <c r="L504" s="59"/>
      <c r="M504" s="59"/>
      <c r="N504" s="59"/>
      <c r="O504" s="59"/>
      <c r="P504" s="59"/>
      <c r="Q504" s="59">
        <f>SUM(Tablo2[[#This Row],[Ocak]:[Aralık]])</f>
        <v>0</v>
      </c>
    </row>
    <row r="505" spans="1:17" x14ac:dyDescent="0.3">
      <c r="A505" s="538"/>
      <c r="B505" s="56" t="s">
        <v>35</v>
      </c>
      <c r="C505" s="57" t="s">
        <v>6</v>
      </c>
      <c r="D505" s="57" t="s">
        <v>15</v>
      </c>
      <c r="E505" s="210"/>
      <c r="F505" s="108"/>
      <c r="G505" s="108"/>
      <c r="H505" s="59"/>
      <c r="I505" s="59"/>
      <c r="J505" s="59"/>
      <c r="K505" s="59"/>
      <c r="L505" s="59"/>
      <c r="M505" s="59"/>
      <c r="N505" s="59"/>
      <c r="O505" s="59"/>
      <c r="P505" s="59"/>
      <c r="Q505" s="59">
        <f>SUM(Tablo2[[#This Row],[Ocak]:[Aralık]])</f>
        <v>0</v>
      </c>
    </row>
    <row r="506" spans="1:17" x14ac:dyDescent="0.3">
      <c r="A506" s="538"/>
      <c r="B506" s="56" t="s">
        <v>35</v>
      </c>
      <c r="C506" s="57" t="s">
        <v>6</v>
      </c>
      <c r="D506" s="57" t="s">
        <v>19</v>
      </c>
      <c r="E506" s="210"/>
      <c r="F506" s="108"/>
      <c r="G506" s="108"/>
      <c r="H506" s="59"/>
      <c r="I506" s="59"/>
      <c r="J506" s="59"/>
      <c r="K506" s="59"/>
      <c r="L506" s="59"/>
      <c r="M506" s="59"/>
      <c r="N506" s="59"/>
      <c r="O506" s="59"/>
      <c r="P506" s="59"/>
      <c r="Q506" s="59">
        <f>SUM(Tablo2[[#This Row],[Ocak]:[Aralık]])</f>
        <v>0</v>
      </c>
    </row>
    <row r="507" spans="1:17" x14ac:dyDescent="0.3">
      <c r="A507" s="538"/>
      <c r="B507" s="56" t="s">
        <v>35</v>
      </c>
      <c r="C507" s="57" t="s">
        <v>6</v>
      </c>
      <c r="D507" s="57" t="s">
        <v>22</v>
      </c>
      <c r="E507" s="210"/>
      <c r="F507" s="108"/>
      <c r="G507" s="108"/>
      <c r="H507" s="59"/>
      <c r="I507" s="59"/>
      <c r="J507" s="59"/>
      <c r="K507" s="59"/>
      <c r="L507" s="59"/>
      <c r="M507" s="59"/>
      <c r="N507" s="59"/>
      <c r="O507" s="59"/>
      <c r="P507" s="59"/>
      <c r="Q507" s="59">
        <f>SUM(Tablo2[[#This Row],[Ocak]:[Aralık]])</f>
        <v>0</v>
      </c>
    </row>
    <row r="508" spans="1:17" x14ac:dyDescent="0.3">
      <c r="A508" s="538"/>
      <c r="B508" s="56" t="s">
        <v>35</v>
      </c>
      <c r="C508" s="57" t="s">
        <v>6</v>
      </c>
      <c r="D508" s="57" t="s">
        <v>25</v>
      </c>
      <c r="E508" s="210"/>
      <c r="F508" s="108"/>
      <c r="G508" s="108"/>
      <c r="H508" s="59"/>
      <c r="I508" s="59"/>
      <c r="J508" s="59"/>
      <c r="K508" s="59"/>
      <c r="L508" s="59"/>
      <c r="M508" s="59"/>
      <c r="N508" s="59"/>
      <c r="O508" s="59"/>
      <c r="P508" s="59"/>
      <c r="Q508" s="59">
        <f>SUM(Tablo2[[#This Row],[Ocak]:[Aralık]])</f>
        <v>0</v>
      </c>
    </row>
    <row r="509" spans="1:17" x14ac:dyDescent="0.3">
      <c r="A509" s="538"/>
      <c r="B509" s="56" t="s">
        <v>35</v>
      </c>
      <c r="C509" s="57" t="s">
        <v>6</v>
      </c>
      <c r="D509" s="57" t="s">
        <v>28</v>
      </c>
      <c r="E509" s="210"/>
      <c r="F509" s="108"/>
      <c r="G509" s="108"/>
      <c r="H509" s="59"/>
      <c r="I509" s="59"/>
      <c r="J509" s="59"/>
      <c r="K509" s="59"/>
      <c r="L509" s="59"/>
      <c r="M509" s="59"/>
      <c r="N509" s="59"/>
      <c r="O509" s="59"/>
      <c r="P509" s="59"/>
      <c r="Q509" s="59">
        <f>SUM(Tablo2[[#This Row],[Ocak]:[Aralık]])</f>
        <v>0</v>
      </c>
    </row>
    <row r="510" spans="1:17" x14ac:dyDescent="0.3">
      <c r="A510" s="538"/>
      <c r="B510" s="56" t="s">
        <v>35</v>
      </c>
      <c r="C510" s="57" t="s">
        <v>6</v>
      </c>
      <c r="D510" s="57" t="s">
        <v>31</v>
      </c>
      <c r="E510" s="210"/>
      <c r="F510" s="108"/>
      <c r="G510" s="108"/>
      <c r="H510" s="59"/>
      <c r="I510" s="59"/>
      <c r="J510" s="59"/>
      <c r="K510" s="59"/>
      <c r="L510" s="59"/>
      <c r="M510" s="59"/>
      <c r="N510" s="59"/>
      <c r="O510" s="59"/>
      <c r="P510" s="59"/>
      <c r="Q510" s="59">
        <f>SUM(Tablo2[[#This Row],[Ocak]:[Aralık]])</f>
        <v>0</v>
      </c>
    </row>
    <row r="511" spans="1:17" x14ac:dyDescent="0.3">
      <c r="A511" s="538"/>
      <c r="B511" s="56" t="s">
        <v>35</v>
      </c>
      <c r="C511" s="57" t="s">
        <v>6</v>
      </c>
      <c r="D511" s="57" t="s">
        <v>34</v>
      </c>
      <c r="E511" s="210"/>
      <c r="F511" s="108"/>
      <c r="G511" s="108"/>
      <c r="H511" s="59"/>
      <c r="I511" s="59"/>
      <c r="J511" s="59"/>
      <c r="K511" s="59"/>
      <c r="L511" s="59"/>
      <c r="M511" s="59"/>
      <c r="N511" s="59"/>
      <c r="O511" s="59"/>
      <c r="P511" s="59"/>
      <c r="Q511" s="59">
        <f>SUM(Tablo2[[#This Row],[Ocak]:[Aralık]])</f>
        <v>0</v>
      </c>
    </row>
    <row r="512" spans="1:17" x14ac:dyDescent="0.3">
      <c r="A512" s="538"/>
      <c r="B512" s="56" t="s">
        <v>35</v>
      </c>
      <c r="C512" s="57" t="s">
        <v>6</v>
      </c>
      <c r="D512" s="57" t="s">
        <v>37</v>
      </c>
      <c r="E512" s="210"/>
      <c r="F512" s="108"/>
      <c r="G512" s="108"/>
      <c r="H512" s="59"/>
      <c r="I512" s="59"/>
      <c r="J512" s="59"/>
      <c r="K512" s="59"/>
      <c r="L512" s="59"/>
      <c r="M512" s="59">
        <v>2750</v>
      </c>
      <c r="N512" s="59"/>
      <c r="O512" s="59"/>
      <c r="P512" s="59"/>
      <c r="Q512" s="59">
        <f>SUM(Tablo2[[#This Row],[Ocak]:[Aralık]])</f>
        <v>2750</v>
      </c>
    </row>
    <row r="513" spans="1:22" x14ac:dyDescent="0.3">
      <c r="A513" s="538"/>
      <c r="B513" s="56" t="s">
        <v>35</v>
      </c>
      <c r="C513" s="57" t="s">
        <v>6</v>
      </c>
      <c r="D513" s="57" t="s">
        <v>39</v>
      </c>
      <c r="E513" s="210"/>
      <c r="F513" s="108"/>
      <c r="G513" s="108"/>
      <c r="H513" s="59"/>
      <c r="I513" s="59"/>
      <c r="J513" s="59"/>
      <c r="K513" s="59"/>
      <c r="L513" s="59"/>
      <c r="M513" s="59"/>
      <c r="N513" s="59"/>
      <c r="O513" s="59"/>
      <c r="P513" s="59"/>
      <c r="Q513" s="59">
        <f>SUM(Tablo2[[#This Row],[Ocak]:[Aralık]])</f>
        <v>0</v>
      </c>
    </row>
    <row r="514" spans="1:22" x14ac:dyDescent="0.3">
      <c r="A514" s="538"/>
      <c r="B514" s="56" t="s">
        <v>35</v>
      </c>
      <c r="C514" s="57" t="s">
        <v>6</v>
      </c>
      <c r="D514" s="57" t="s">
        <v>42</v>
      </c>
      <c r="E514" s="210"/>
      <c r="F514" s="108"/>
      <c r="G514" s="108"/>
      <c r="H514" s="59"/>
      <c r="I514" s="59"/>
      <c r="J514" s="59"/>
      <c r="K514" s="59"/>
      <c r="L514" s="59"/>
      <c r="M514" s="59"/>
      <c r="N514" s="59"/>
      <c r="O514" s="59"/>
      <c r="P514" s="59"/>
      <c r="Q514" s="59">
        <f>SUM(Tablo2[[#This Row],[Ocak]:[Aralık]])</f>
        <v>0</v>
      </c>
    </row>
    <row r="515" spans="1:22" x14ac:dyDescent="0.3">
      <c r="A515" s="538"/>
      <c r="B515" s="56" t="s">
        <v>35</v>
      </c>
      <c r="C515" s="57" t="s">
        <v>6</v>
      </c>
      <c r="D515" s="57" t="s">
        <v>45</v>
      </c>
      <c r="E515" s="210"/>
      <c r="F515" s="108"/>
      <c r="G515" s="108"/>
      <c r="H515" s="59"/>
      <c r="I515" s="59"/>
      <c r="J515" s="59"/>
      <c r="K515" s="59"/>
      <c r="L515" s="59"/>
      <c r="M515" s="59"/>
      <c r="N515" s="59"/>
      <c r="O515" s="59"/>
      <c r="P515" s="59"/>
      <c r="Q515" s="59">
        <f>SUM(Tablo2[[#This Row],[Ocak]:[Aralık]])</f>
        <v>0</v>
      </c>
    </row>
    <row r="516" spans="1:22" x14ac:dyDescent="0.3">
      <c r="A516" s="538"/>
      <c r="B516" s="56" t="s">
        <v>35</v>
      </c>
      <c r="C516" s="57" t="s">
        <v>6</v>
      </c>
      <c r="D516" s="57" t="s">
        <v>48</v>
      </c>
      <c r="E516" s="210"/>
      <c r="F516" s="108"/>
      <c r="G516" s="108"/>
      <c r="H516" s="59"/>
      <c r="I516" s="59"/>
      <c r="J516" s="59"/>
      <c r="K516" s="59"/>
      <c r="L516" s="59"/>
      <c r="M516" s="59"/>
      <c r="N516" s="59"/>
      <c r="O516" s="59"/>
      <c r="P516" s="59"/>
      <c r="Q516" s="59">
        <f>SUM(Tablo2[[#This Row],[Ocak]:[Aralık]])</f>
        <v>0</v>
      </c>
    </row>
    <row r="517" spans="1:22" x14ac:dyDescent="0.3">
      <c r="A517" s="538"/>
      <c r="B517" s="56" t="s">
        <v>35</v>
      </c>
      <c r="C517" s="57" t="s">
        <v>6</v>
      </c>
      <c r="D517" s="57" t="s">
        <v>50</v>
      </c>
      <c r="E517" s="210"/>
      <c r="F517" s="108"/>
      <c r="G517" s="108"/>
      <c r="H517" s="59"/>
      <c r="I517" s="59"/>
      <c r="J517" s="59"/>
      <c r="K517" s="59"/>
      <c r="L517" s="59"/>
      <c r="M517" s="59"/>
      <c r="N517" s="59"/>
      <c r="O517" s="59"/>
      <c r="P517" s="59"/>
      <c r="Q517" s="59">
        <f>SUM(Tablo2[[#This Row],[Ocak]:[Aralık]])</f>
        <v>0</v>
      </c>
    </row>
    <row r="518" spans="1:22" x14ac:dyDescent="0.3">
      <c r="A518" s="538">
        <v>2</v>
      </c>
      <c r="B518" s="56" t="s">
        <v>35</v>
      </c>
      <c r="C518" s="57" t="s">
        <v>10</v>
      </c>
      <c r="D518" s="57" t="s">
        <v>7</v>
      </c>
      <c r="E518" s="210"/>
      <c r="F518" s="108"/>
      <c r="G518" s="108"/>
      <c r="H518" s="59"/>
      <c r="I518" s="59"/>
      <c r="J518" s="59"/>
      <c r="K518" s="59"/>
      <c r="L518" s="59"/>
      <c r="M518" s="59"/>
      <c r="N518" s="59"/>
      <c r="O518" s="59"/>
      <c r="P518" s="59"/>
      <c r="Q518" s="59">
        <f>SUM(Tablo2[[#This Row],[Ocak]:[Aralık]])</f>
        <v>0</v>
      </c>
    </row>
    <row r="519" spans="1:22" x14ac:dyDescent="0.3">
      <c r="A519" s="538"/>
      <c r="B519" s="56" t="s">
        <v>35</v>
      </c>
      <c r="C519" s="57" t="s">
        <v>10</v>
      </c>
      <c r="D519" s="57" t="s">
        <v>11</v>
      </c>
      <c r="E519" s="210"/>
      <c r="F519" s="108"/>
      <c r="G519" s="108"/>
      <c r="H519" s="59"/>
      <c r="I519" s="59"/>
      <c r="J519" s="59"/>
      <c r="K519" s="59"/>
      <c r="L519" s="59"/>
      <c r="M519" s="59"/>
      <c r="N519" s="59"/>
      <c r="O519" s="59"/>
      <c r="P519" s="59"/>
      <c r="Q519" s="59">
        <f>SUM(Tablo2[[#This Row],[Ocak]:[Aralık]])</f>
        <v>0</v>
      </c>
    </row>
    <row r="520" spans="1:22" x14ac:dyDescent="0.3">
      <c r="A520" s="538"/>
      <c r="B520" s="56" t="s">
        <v>35</v>
      </c>
      <c r="C520" s="57" t="s">
        <v>10</v>
      </c>
      <c r="D520" s="57" t="s">
        <v>15</v>
      </c>
      <c r="E520" s="210"/>
      <c r="F520" s="108"/>
      <c r="G520" s="108"/>
      <c r="H520" s="59"/>
      <c r="I520" s="59"/>
      <c r="J520" s="59"/>
      <c r="K520" s="59"/>
      <c r="L520" s="59"/>
      <c r="M520" s="59">
        <v>3480</v>
      </c>
      <c r="N520" s="59"/>
      <c r="O520" s="59"/>
      <c r="P520" s="59"/>
      <c r="Q520" s="59">
        <f>SUM(Tablo2[[#This Row],[Ocak]:[Aralık]])</f>
        <v>3480</v>
      </c>
    </row>
    <row r="521" spans="1:22" x14ac:dyDescent="0.25">
      <c r="A521" s="538"/>
      <c r="B521" s="56" t="s">
        <v>35</v>
      </c>
      <c r="C521" s="57" t="s">
        <v>10</v>
      </c>
      <c r="D521" s="57" t="s">
        <v>19</v>
      </c>
      <c r="E521" s="210"/>
      <c r="F521" s="108"/>
      <c r="G521" s="108"/>
      <c r="H521" s="59"/>
      <c r="I521" s="59"/>
      <c r="J521" s="59"/>
      <c r="K521" s="59"/>
      <c r="L521" s="59"/>
      <c r="M521" s="59"/>
      <c r="N521" s="59"/>
      <c r="O521" s="59"/>
      <c r="P521" s="59"/>
      <c r="Q521" s="59">
        <f>SUM(Tablo2[[#This Row],[Ocak]:[Aralık]])</f>
        <v>0</v>
      </c>
      <c r="T521" s="449"/>
      <c r="U521" s="370"/>
      <c r="V521" s="419"/>
    </row>
    <row r="522" spans="1:22" x14ac:dyDescent="0.25">
      <c r="A522" s="538"/>
      <c r="B522" s="56" t="s">
        <v>35</v>
      </c>
      <c r="C522" s="57" t="s">
        <v>10</v>
      </c>
      <c r="D522" s="57" t="s">
        <v>22</v>
      </c>
      <c r="E522" s="210"/>
      <c r="F522" s="108"/>
      <c r="G522" s="108"/>
      <c r="H522" s="59"/>
      <c r="I522" s="59"/>
      <c r="J522" s="59"/>
      <c r="K522" s="59"/>
      <c r="L522" s="59"/>
      <c r="M522" s="59"/>
      <c r="N522" s="59"/>
      <c r="O522" s="59"/>
      <c r="P522" s="59"/>
      <c r="Q522" s="59">
        <f>SUM(Tablo2[[#This Row],[Ocak]:[Aralık]])</f>
        <v>0</v>
      </c>
      <c r="T522" s="449"/>
      <c r="U522" s="370"/>
      <c r="V522" s="419"/>
    </row>
    <row r="523" spans="1:22" x14ac:dyDescent="0.25">
      <c r="A523" s="538"/>
      <c r="B523" s="56" t="s">
        <v>35</v>
      </c>
      <c r="C523" s="57" t="s">
        <v>10</v>
      </c>
      <c r="D523" s="57" t="s">
        <v>25</v>
      </c>
      <c r="E523" s="210"/>
      <c r="F523" s="108"/>
      <c r="G523" s="108"/>
      <c r="H523" s="59"/>
      <c r="I523" s="59"/>
      <c r="J523" s="59"/>
      <c r="K523" s="59"/>
      <c r="L523" s="59"/>
      <c r="M523" s="59">
        <v>75</v>
      </c>
      <c r="N523" s="59"/>
      <c r="O523" s="59"/>
      <c r="P523" s="59"/>
      <c r="Q523" s="59">
        <f>SUM(Tablo2[[#This Row],[Ocak]:[Aralık]])</f>
        <v>75</v>
      </c>
      <c r="T523" s="449"/>
      <c r="U523" s="370"/>
      <c r="V523" s="419"/>
    </row>
    <row r="524" spans="1:22" x14ac:dyDescent="0.25">
      <c r="A524" s="538"/>
      <c r="B524" s="56" t="s">
        <v>35</v>
      </c>
      <c r="C524" s="57" t="s">
        <v>10</v>
      </c>
      <c r="D524" s="57" t="s">
        <v>28</v>
      </c>
      <c r="E524" s="210"/>
      <c r="F524" s="108"/>
      <c r="G524" s="108"/>
      <c r="H524" s="59"/>
      <c r="I524" s="59"/>
      <c r="J524" s="59"/>
      <c r="K524" s="59"/>
      <c r="L524" s="59"/>
      <c r="M524" s="59"/>
      <c r="N524" s="59"/>
      <c r="O524" s="59"/>
      <c r="P524" s="59"/>
      <c r="Q524" s="59">
        <f>SUM(Tablo2[[#This Row],[Ocak]:[Aralık]])</f>
        <v>0</v>
      </c>
      <c r="T524" s="449"/>
      <c r="U524" s="370"/>
      <c r="V524" s="419"/>
    </row>
    <row r="525" spans="1:22" x14ac:dyDescent="0.25">
      <c r="A525" s="538"/>
      <c r="B525" s="56" t="s">
        <v>35</v>
      </c>
      <c r="C525" s="57" t="s">
        <v>10</v>
      </c>
      <c r="D525" s="57" t="s">
        <v>31</v>
      </c>
      <c r="E525" s="210"/>
      <c r="F525" s="108"/>
      <c r="G525" s="108"/>
      <c r="H525" s="59"/>
      <c r="I525" s="59"/>
      <c r="J525" s="59"/>
      <c r="K525" s="59"/>
      <c r="L525" s="59"/>
      <c r="M525" s="59"/>
      <c r="N525" s="59"/>
      <c r="O525" s="59"/>
      <c r="P525" s="59"/>
      <c r="Q525" s="59">
        <f>SUM(Tablo2[[#This Row],[Ocak]:[Aralık]])</f>
        <v>0</v>
      </c>
      <c r="T525" s="449"/>
      <c r="U525" s="370"/>
      <c r="V525" s="419"/>
    </row>
    <row r="526" spans="1:22" x14ac:dyDescent="0.25">
      <c r="A526" s="538"/>
      <c r="B526" s="56" t="s">
        <v>35</v>
      </c>
      <c r="C526" s="57" t="s">
        <v>10</v>
      </c>
      <c r="D526" s="57" t="s">
        <v>34</v>
      </c>
      <c r="E526" s="210"/>
      <c r="F526" s="108"/>
      <c r="G526" s="108"/>
      <c r="H526" s="59"/>
      <c r="I526" s="59"/>
      <c r="J526" s="59"/>
      <c r="K526" s="59"/>
      <c r="L526" s="59"/>
      <c r="M526" s="59"/>
      <c r="N526" s="59"/>
      <c r="O526" s="59"/>
      <c r="P526" s="59"/>
      <c r="Q526" s="59">
        <f>SUM(Tablo2[[#This Row],[Ocak]:[Aralık]])</f>
        <v>0</v>
      </c>
      <c r="T526" s="449"/>
      <c r="U526" s="370"/>
      <c r="V526" s="419"/>
    </row>
    <row r="527" spans="1:22" x14ac:dyDescent="0.3">
      <c r="A527" s="538"/>
      <c r="B527" s="56" t="s">
        <v>35</v>
      </c>
      <c r="C527" s="57" t="s">
        <v>10</v>
      </c>
      <c r="D527" s="57" t="s">
        <v>37</v>
      </c>
      <c r="E527" s="210"/>
      <c r="F527" s="108"/>
      <c r="G527" s="108"/>
      <c r="H527" s="59"/>
      <c r="I527" s="59"/>
      <c r="J527" s="59"/>
      <c r="K527" s="59"/>
      <c r="L527" s="59"/>
      <c r="M527" s="59">
        <v>90</v>
      </c>
      <c r="N527" s="59"/>
      <c r="O527" s="59"/>
      <c r="P527" s="59"/>
      <c r="Q527" s="59">
        <f>SUM(Tablo2[[#This Row],[Ocak]:[Aralık]])</f>
        <v>90</v>
      </c>
    </row>
    <row r="528" spans="1:22" x14ac:dyDescent="0.3">
      <c r="A528" s="538"/>
      <c r="B528" s="56" t="s">
        <v>35</v>
      </c>
      <c r="C528" s="57" t="s">
        <v>10</v>
      </c>
      <c r="D528" s="57" t="s">
        <v>39</v>
      </c>
      <c r="E528" s="210"/>
      <c r="F528" s="108"/>
      <c r="G528" s="108"/>
      <c r="H528" s="59"/>
      <c r="I528" s="59"/>
      <c r="J528" s="59"/>
      <c r="K528" s="59"/>
      <c r="L528" s="59"/>
      <c r="M528" s="59"/>
      <c r="N528" s="59"/>
      <c r="O528" s="59"/>
      <c r="P528" s="59"/>
      <c r="Q528" s="59">
        <f>SUM(Tablo2[[#This Row],[Ocak]:[Aralık]])</f>
        <v>0</v>
      </c>
    </row>
    <row r="529" spans="1:21" x14ac:dyDescent="0.3">
      <c r="A529" s="538"/>
      <c r="B529" s="56" t="s">
        <v>35</v>
      </c>
      <c r="C529" s="57" t="s">
        <v>10</v>
      </c>
      <c r="D529" s="57" t="s">
        <v>42</v>
      </c>
      <c r="E529" s="210"/>
      <c r="F529" s="108"/>
      <c r="G529" s="108"/>
      <c r="H529" s="59"/>
      <c r="I529" s="59"/>
      <c r="J529" s="59"/>
      <c r="K529" s="59"/>
      <c r="L529" s="59"/>
      <c r="M529" s="59"/>
      <c r="N529" s="59"/>
      <c r="O529" s="59"/>
      <c r="P529" s="59"/>
      <c r="Q529" s="59">
        <f>SUM(Tablo2[[#This Row],[Ocak]:[Aralık]])</f>
        <v>0</v>
      </c>
    </row>
    <row r="530" spans="1:21" x14ac:dyDescent="0.3">
      <c r="A530" s="538"/>
      <c r="B530" s="56" t="s">
        <v>35</v>
      </c>
      <c r="C530" s="57" t="s">
        <v>10</v>
      </c>
      <c r="D530" s="57" t="s">
        <v>45</v>
      </c>
      <c r="E530" s="210"/>
      <c r="F530" s="108"/>
      <c r="G530" s="108"/>
      <c r="H530" s="59"/>
      <c r="I530" s="59"/>
      <c r="J530" s="59"/>
      <c r="K530" s="59"/>
      <c r="L530" s="59"/>
      <c r="M530" s="59"/>
      <c r="N530" s="59"/>
      <c r="O530" s="59"/>
      <c r="P530" s="59"/>
      <c r="Q530" s="59">
        <f>SUM(Tablo2[[#This Row],[Ocak]:[Aralık]])</f>
        <v>0</v>
      </c>
    </row>
    <row r="531" spans="1:21" x14ac:dyDescent="0.3">
      <c r="A531" s="538"/>
      <c r="B531" s="56" t="s">
        <v>35</v>
      </c>
      <c r="C531" s="57" t="s">
        <v>10</v>
      </c>
      <c r="D531" s="57" t="s">
        <v>48</v>
      </c>
      <c r="E531" s="210"/>
      <c r="F531" s="108"/>
      <c r="G531" s="108"/>
      <c r="H531" s="59"/>
      <c r="I531" s="59"/>
      <c r="J531" s="59"/>
      <c r="K531" s="59"/>
      <c r="L531" s="59"/>
      <c r="M531" s="59"/>
      <c r="N531" s="59"/>
      <c r="O531" s="59"/>
      <c r="P531" s="59"/>
      <c r="Q531" s="59">
        <f>SUM(Tablo2[[#This Row],[Ocak]:[Aralık]])</f>
        <v>0</v>
      </c>
    </row>
    <row r="532" spans="1:21" x14ac:dyDescent="0.3">
      <c r="A532" s="538"/>
      <c r="B532" s="56" t="s">
        <v>35</v>
      </c>
      <c r="C532" s="57" t="s">
        <v>10</v>
      </c>
      <c r="D532" s="57" t="s">
        <v>50</v>
      </c>
      <c r="E532" s="210"/>
      <c r="F532" s="108"/>
      <c r="G532" s="108"/>
      <c r="H532" s="59"/>
      <c r="I532" s="59"/>
      <c r="J532" s="59"/>
      <c r="K532" s="59"/>
      <c r="L532" s="59"/>
      <c r="M532" s="59"/>
      <c r="N532" s="59"/>
      <c r="O532" s="59"/>
      <c r="P532" s="59"/>
      <c r="Q532" s="59">
        <f>SUM(Tablo2[[#This Row],[Ocak]:[Aralık]])</f>
        <v>0</v>
      </c>
    </row>
    <row r="533" spans="1:21" x14ac:dyDescent="0.3">
      <c r="A533" s="54">
        <v>5</v>
      </c>
      <c r="B533" s="56" t="s">
        <v>35</v>
      </c>
      <c r="C533" s="57" t="s">
        <v>14</v>
      </c>
      <c r="D533" s="57"/>
      <c r="E533" s="210"/>
      <c r="F533" s="108"/>
      <c r="G533" s="108"/>
      <c r="H533" s="59"/>
      <c r="I533" s="59"/>
      <c r="J533" s="59"/>
      <c r="K533" s="59"/>
      <c r="L533" s="59"/>
      <c r="M533" s="59">
        <v>275</v>
      </c>
      <c r="N533" s="59"/>
      <c r="O533" s="59"/>
      <c r="P533" s="59"/>
      <c r="Q533" s="59">
        <f>SUM(Tablo2[[#This Row],[Ocak]:[Aralık]])</f>
        <v>275</v>
      </c>
    </row>
    <row r="534" spans="1:21" x14ac:dyDescent="0.3">
      <c r="A534" s="54">
        <v>6</v>
      </c>
      <c r="B534" s="56" t="s">
        <v>35</v>
      </c>
      <c r="C534" s="57" t="s">
        <v>18</v>
      </c>
      <c r="D534" s="57"/>
      <c r="E534" s="210"/>
      <c r="F534" s="108"/>
      <c r="G534" s="108"/>
      <c r="H534" s="59"/>
      <c r="I534" s="59"/>
      <c r="J534" s="59"/>
      <c r="K534" s="59"/>
      <c r="L534" s="59"/>
      <c r="M534" s="59">
        <v>650</v>
      </c>
      <c r="N534" s="59"/>
      <c r="O534" s="59"/>
      <c r="P534" s="59"/>
      <c r="Q534" s="59">
        <f>SUM(Tablo2[[#This Row],[Ocak]:[Aralık]])</f>
        <v>650</v>
      </c>
    </row>
    <row r="535" spans="1:21" x14ac:dyDescent="0.3">
      <c r="A535" s="54">
        <v>7</v>
      </c>
      <c r="B535" s="56" t="s">
        <v>35</v>
      </c>
      <c r="C535" s="57" t="s">
        <v>21</v>
      </c>
      <c r="D535" s="57"/>
      <c r="E535" s="210">
        <f>540*12*4</f>
        <v>25920</v>
      </c>
      <c r="F535" s="210">
        <f>540*7*4</f>
        <v>15120</v>
      </c>
      <c r="G535" s="108">
        <v>6000</v>
      </c>
      <c r="H535" s="59"/>
      <c r="I535" s="59"/>
      <c r="J535" s="59"/>
      <c r="K535" s="59"/>
      <c r="L535" s="59"/>
      <c r="M535" s="59">
        <v>65</v>
      </c>
      <c r="N535" s="59"/>
      <c r="O535" s="59"/>
      <c r="P535" s="59"/>
      <c r="Q535" s="59">
        <f>SUM(Tablo2[[#This Row],[Ocak]:[Aralık]])</f>
        <v>47105</v>
      </c>
    </row>
    <row r="536" spans="1:21" x14ac:dyDescent="0.25">
      <c r="A536" s="54">
        <v>8</v>
      </c>
      <c r="B536" s="56" t="s">
        <v>35</v>
      </c>
      <c r="C536" s="57" t="s">
        <v>24</v>
      </c>
      <c r="D536" s="57"/>
      <c r="E536" s="210"/>
      <c r="F536" s="108"/>
      <c r="G536" s="108"/>
      <c r="H536" s="59"/>
      <c r="I536" s="380">
        <v>6300</v>
      </c>
      <c r="J536" s="59">
        <v>4950</v>
      </c>
      <c r="K536" s="59">
        <v>2800</v>
      </c>
      <c r="L536" s="59">
        <v>1020</v>
      </c>
      <c r="M536" s="59">
        <v>15130</v>
      </c>
      <c r="N536" s="59"/>
      <c r="O536" s="59"/>
      <c r="P536" s="59"/>
      <c r="Q536" s="59">
        <f>SUM(Tablo2[[#This Row],[Ocak]:[Aralık]])</f>
        <v>30200</v>
      </c>
      <c r="S536" s="474"/>
      <c r="T536" s="475"/>
      <c r="U536" s="464"/>
    </row>
    <row r="537" spans="1:21" x14ac:dyDescent="0.25">
      <c r="A537" s="54">
        <v>9</v>
      </c>
      <c r="B537" s="56" t="s">
        <v>35</v>
      </c>
      <c r="C537" s="57" t="s">
        <v>27</v>
      </c>
      <c r="D537" s="57"/>
      <c r="E537" s="210"/>
      <c r="F537" s="108"/>
      <c r="G537" s="108"/>
      <c r="H537" s="59"/>
      <c r="I537" s="59"/>
      <c r="J537" s="59"/>
      <c r="K537" s="59"/>
      <c r="L537" s="59"/>
      <c r="M537" s="59">
        <v>15</v>
      </c>
      <c r="N537" s="59"/>
      <c r="O537" s="59"/>
      <c r="P537" s="59"/>
      <c r="Q537" s="59">
        <f>SUM(Tablo2[[#This Row],[Ocak]:[Aralık]])</f>
        <v>15</v>
      </c>
      <c r="S537" s="474"/>
      <c r="T537" s="475"/>
      <c r="U537" s="464"/>
    </row>
    <row r="538" spans="1:21" x14ac:dyDescent="0.3">
      <c r="A538" s="54">
        <v>10</v>
      </c>
      <c r="B538" s="56" t="s">
        <v>35</v>
      </c>
      <c r="C538" s="57" t="s">
        <v>30</v>
      </c>
      <c r="D538" s="57"/>
      <c r="E538" s="210"/>
      <c r="F538" s="108"/>
      <c r="G538" s="108"/>
      <c r="H538" s="59"/>
      <c r="I538" s="59"/>
      <c r="J538" s="59"/>
      <c r="K538" s="59"/>
      <c r="L538" s="59"/>
      <c r="M538" s="59">
        <v>890</v>
      </c>
      <c r="N538" s="59"/>
      <c r="O538" s="59"/>
      <c r="P538" s="59"/>
      <c r="Q538" s="59">
        <f>SUM(Tablo2[[#This Row],[Ocak]:[Aralık]])</f>
        <v>890</v>
      </c>
    </row>
    <row r="539" spans="1:21" x14ac:dyDescent="0.3">
      <c r="A539" s="54">
        <v>11</v>
      </c>
      <c r="B539" s="56" t="s">
        <v>35</v>
      </c>
      <c r="C539" s="57" t="s">
        <v>33</v>
      </c>
      <c r="D539" s="57"/>
      <c r="E539" s="210"/>
      <c r="F539" s="108"/>
      <c r="G539" s="108"/>
      <c r="H539" s="59"/>
      <c r="I539" s="59"/>
      <c r="J539" s="59"/>
      <c r="K539" s="59"/>
      <c r="L539" s="59"/>
      <c r="M539" s="59">
        <v>6180</v>
      </c>
      <c r="N539" s="59"/>
      <c r="O539" s="59"/>
      <c r="P539" s="59"/>
      <c r="Q539" s="59">
        <f>SUM(Tablo2[[#This Row],[Ocak]:[Aralık]])</f>
        <v>6180</v>
      </c>
    </row>
    <row r="540" spans="1:21" x14ac:dyDescent="0.3">
      <c r="A540" s="54">
        <v>12</v>
      </c>
      <c r="B540" s="56" t="s">
        <v>35</v>
      </c>
      <c r="C540" s="57" t="s">
        <v>36</v>
      </c>
      <c r="D540" s="57"/>
      <c r="E540" s="210"/>
      <c r="F540" s="108"/>
      <c r="G540" s="108"/>
      <c r="H540" s="59"/>
      <c r="I540" s="59"/>
      <c r="J540" s="59"/>
      <c r="K540" s="59"/>
      <c r="L540" s="59"/>
      <c r="M540" s="59"/>
      <c r="N540" s="59"/>
      <c r="O540" s="59"/>
      <c r="P540" s="59"/>
      <c r="Q540" s="59">
        <f>SUM(Tablo2[[#This Row],[Ocak]:[Aralık]])</f>
        <v>0</v>
      </c>
    </row>
    <row r="541" spans="1:21" x14ac:dyDescent="0.3">
      <c r="A541" s="54">
        <v>13</v>
      </c>
      <c r="B541" s="56" t="s">
        <v>35</v>
      </c>
      <c r="C541" s="57" t="s">
        <v>38</v>
      </c>
      <c r="D541" s="57"/>
      <c r="E541" s="210"/>
      <c r="F541" s="108"/>
      <c r="G541" s="108"/>
      <c r="H541" s="59"/>
      <c r="I541" s="59"/>
      <c r="J541" s="59"/>
      <c r="K541" s="59">
        <v>2700</v>
      </c>
      <c r="L541" s="59"/>
      <c r="M541" s="59"/>
      <c r="N541" s="59"/>
      <c r="O541" s="59"/>
      <c r="P541" s="59"/>
      <c r="Q541" s="59">
        <f>SUM(Tablo2[[#This Row],[Ocak]:[Aralık]])</f>
        <v>2700</v>
      </c>
    </row>
    <row r="542" spans="1:21" x14ac:dyDescent="0.3">
      <c r="A542" s="54">
        <v>14</v>
      </c>
      <c r="B542" s="56" t="s">
        <v>35</v>
      </c>
      <c r="C542" s="57" t="s">
        <v>41</v>
      </c>
      <c r="D542" s="57"/>
      <c r="E542" s="210"/>
      <c r="F542" s="108"/>
      <c r="G542" s="108"/>
      <c r="H542" s="59"/>
      <c r="I542" s="59"/>
      <c r="J542" s="59"/>
      <c r="K542" s="59"/>
      <c r="L542" s="59"/>
      <c r="M542" s="59">
        <v>2580</v>
      </c>
      <c r="N542" s="59"/>
      <c r="O542" s="59"/>
      <c r="P542" s="59"/>
      <c r="Q542" s="59">
        <f>SUM(Tablo2[[#This Row],[Ocak]:[Aralık]])</f>
        <v>2580</v>
      </c>
    </row>
    <row r="543" spans="1:21" x14ac:dyDescent="0.3">
      <c r="A543" s="54">
        <v>15</v>
      </c>
      <c r="B543" s="56" t="s">
        <v>35</v>
      </c>
      <c r="C543" s="57" t="s">
        <v>44</v>
      </c>
      <c r="D543" s="57"/>
      <c r="E543" s="210"/>
      <c r="F543" s="108"/>
      <c r="G543" s="108"/>
      <c r="H543" s="59"/>
      <c r="I543" s="59"/>
      <c r="J543" s="59"/>
      <c r="K543" s="59"/>
      <c r="L543" s="59"/>
      <c r="M543" s="59"/>
      <c r="N543" s="59"/>
      <c r="O543" s="59"/>
      <c r="P543" s="59"/>
      <c r="Q543" s="59">
        <f>SUM(Tablo2[[#This Row],[Ocak]:[Aralık]])</f>
        <v>0</v>
      </c>
    </row>
    <row r="544" spans="1:21" x14ac:dyDescent="0.3">
      <c r="A544" s="54">
        <v>16</v>
      </c>
      <c r="B544" s="56" t="s">
        <v>35</v>
      </c>
      <c r="C544" s="57" t="s">
        <v>47</v>
      </c>
      <c r="D544" s="57"/>
      <c r="E544" s="210"/>
      <c r="F544" s="108"/>
      <c r="G544" s="108"/>
      <c r="H544" s="59"/>
      <c r="I544" s="59"/>
      <c r="J544" s="59"/>
      <c r="K544" s="59"/>
      <c r="L544" s="59"/>
      <c r="M544" s="59"/>
      <c r="N544" s="59"/>
      <c r="O544" s="59"/>
      <c r="P544" s="59"/>
      <c r="Q544" s="59">
        <f>SUM(Tablo2[[#This Row],[Ocak]:[Aralık]])</f>
        <v>0</v>
      </c>
    </row>
    <row r="545" spans="1:17" x14ac:dyDescent="0.3">
      <c r="A545" s="54">
        <v>17</v>
      </c>
      <c r="B545" s="56" t="s">
        <v>35</v>
      </c>
      <c r="C545" s="57" t="s">
        <v>49</v>
      </c>
      <c r="D545" s="57"/>
      <c r="E545" s="210"/>
      <c r="F545" s="108"/>
      <c r="G545" s="108"/>
      <c r="H545" s="59"/>
      <c r="I545" s="59"/>
      <c r="J545" s="59"/>
      <c r="K545" s="59"/>
      <c r="L545" s="59"/>
      <c r="M545" s="59">
        <v>1030</v>
      </c>
      <c r="N545" s="59"/>
      <c r="O545" s="59"/>
      <c r="P545" s="59"/>
      <c r="Q545" s="59">
        <f>SUM(Tablo2[[#This Row],[Ocak]:[Aralık]])</f>
        <v>1030</v>
      </c>
    </row>
    <row r="546" spans="1:17" x14ac:dyDescent="0.3">
      <c r="A546" s="54">
        <v>18</v>
      </c>
      <c r="B546" s="56" t="s">
        <v>35</v>
      </c>
      <c r="C546" s="57" t="s">
        <v>51</v>
      </c>
      <c r="D546" s="57"/>
      <c r="E546" s="210"/>
      <c r="F546" s="108"/>
      <c r="G546" s="108"/>
      <c r="H546" s="59"/>
      <c r="I546" s="59"/>
      <c r="J546" s="59">
        <v>900</v>
      </c>
      <c r="K546" s="59"/>
      <c r="L546" s="59">
        <v>1900</v>
      </c>
      <c r="M546" s="59"/>
      <c r="N546" s="59"/>
      <c r="O546" s="59"/>
      <c r="P546" s="59"/>
      <c r="Q546" s="59">
        <f>SUM(Tablo2[[#This Row],[Ocak]:[Aralık]])</f>
        <v>2800</v>
      </c>
    </row>
    <row r="547" spans="1:17" x14ac:dyDescent="0.25">
      <c r="A547" s="54">
        <v>19</v>
      </c>
      <c r="B547" s="56" t="s">
        <v>35</v>
      </c>
      <c r="C547" s="57" t="s">
        <v>52</v>
      </c>
      <c r="D547" s="57"/>
      <c r="E547" s="210"/>
      <c r="F547" s="108"/>
      <c r="G547" s="108"/>
      <c r="H547" s="59"/>
      <c r="I547" s="380">
        <v>1800</v>
      </c>
      <c r="J547" s="59"/>
      <c r="K547" s="59">
        <v>1620</v>
      </c>
      <c r="L547" s="59"/>
      <c r="M547" s="59">
        <v>3150</v>
      </c>
      <c r="N547" s="59"/>
      <c r="O547" s="59"/>
      <c r="P547" s="59"/>
      <c r="Q547" s="59">
        <f>SUM(Tablo2[[#This Row],[Ocak]:[Aralık]])</f>
        <v>6570</v>
      </c>
    </row>
    <row r="548" spans="1:17" x14ac:dyDescent="0.3">
      <c r="A548" s="54">
        <v>20</v>
      </c>
      <c r="B548" s="56" t="s">
        <v>35</v>
      </c>
      <c r="C548" s="57" t="s">
        <v>53</v>
      </c>
      <c r="D548" s="57"/>
      <c r="E548" s="210"/>
      <c r="F548" s="108"/>
      <c r="G548" s="108"/>
      <c r="H548" s="59"/>
      <c r="I548" s="59"/>
      <c r="J548" s="59"/>
      <c r="K548" s="59"/>
      <c r="L548" s="59"/>
      <c r="M548" s="59">
        <v>3115</v>
      </c>
      <c r="N548" s="59"/>
      <c r="O548" s="59"/>
      <c r="P548" s="59"/>
      <c r="Q548" s="59">
        <f>SUM(Tablo2[[#This Row],[Ocak]:[Aralık]])</f>
        <v>3115</v>
      </c>
    </row>
    <row r="549" spans="1:17" x14ac:dyDescent="0.3">
      <c r="A549" s="54">
        <v>21</v>
      </c>
      <c r="B549" s="56" t="s">
        <v>35</v>
      </c>
      <c r="C549" s="57" t="s">
        <v>54</v>
      </c>
      <c r="D549" s="57"/>
      <c r="E549" s="210"/>
      <c r="F549" s="108"/>
      <c r="G549" s="108"/>
      <c r="H549" s="59"/>
      <c r="I549" s="59"/>
      <c r="J549" s="59"/>
      <c r="K549" s="59"/>
      <c r="L549" s="59"/>
      <c r="M549" s="59">
        <v>1420</v>
      </c>
      <c r="N549" s="59"/>
      <c r="O549" s="59"/>
      <c r="P549" s="59"/>
      <c r="Q549" s="59">
        <f>SUM(Tablo2[[#This Row],[Ocak]:[Aralık]])</f>
        <v>1420</v>
      </c>
    </row>
    <row r="550" spans="1:17" x14ac:dyDescent="0.25">
      <c r="A550" s="54">
        <v>22</v>
      </c>
      <c r="B550" s="56" t="s">
        <v>35</v>
      </c>
      <c r="C550" s="57" t="s">
        <v>55</v>
      </c>
      <c r="D550" s="57"/>
      <c r="E550" s="210"/>
      <c r="F550" s="108"/>
      <c r="G550" s="108"/>
      <c r="H550" s="59"/>
      <c r="I550" s="380">
        <v>1980</v>
      </c>
      <c r="J550" s="59"/>
      <c r="K550" s="59"/>
      <c r="L550" s="59"/>
      <c r="M550" s="59"/>
      <c r="N550" s="59"/>
      <c r="O550" s="59"/>
      <c r="P550" s="59"/>
      <c r="Q550" s="59">
        <f>SUM(Tablo2[[#This Row],[Ocak]:[Aralık]])</f>
        <v>1980</v>
      </c>
    </row>
    <row r="551" spans="1:17" x14ac:dyDescent="0.3">
      <c r="A551" s="54">
        <v>23</v>
      </c>
      <c r="B551" s="56" t="s">
        <v>35</v>
      </c>
      <c r="C551" s="57" t="s">
        <v>56</v>
      </c>
      <c r="D551" s="57"/>
      <c r="E551" s="210"/>
      <c r="F551" s="108"/>
      <c r="G551" s="108"/>
      <c r="H551" s="59"/>
      <c r="I551" s="59"/>
      <c r="J551" s="59"/>
      <c r="K551" s="59"/>
      <c r="L551" s="59"/>
      <c r="M551" s="59"/>
      <c r="N551" s="59"/>
      <c r="O551" s="59"/>
      <c r="P551" s="59"/>
      <c r="Q551" s="59">
        <f>SUM(Tablo2[[#This Row],[Ocak]:[Aralık]])</f>
        <v>0</v>
      </c>
    </row>
    <row r="552" spans="1:17" x14ac:dyDescent="0.3">
      <c r="A552" s="54">
        <v>24</v>
      </c>
      <c r="B552" s="56" t="s">
        <v>35</v>
      </c>
      <c r="C552" s="57" t="s">
        <v>57</v>
      </c>
      <c r="D552" s="57"/>
      <c r="E552" s="210"/>
      <c r="F552" s="108"/>
      <c r="G552" s="108"/>
      <c r="H552" s="59"/>
      <c r="I552" s="59"/>
      <c r="J552" s="59"/>
      <c r="K552" s="59"/>
      <c r="L552" s="59"/>
      <c r="M552" s="59"/>
      <c r="N552" s="59"/>
      <c r="O552" s="59"/>
      <c r="P552" s="59"/>
      <c r="Q552" s="59">
        <f>SUM(Tablo2[[#This Row],[Ocak]:[Aralık]])</f>
        <v>0</v>
      </c>
    </row>
    <row r="553" spans="1:17" x14ac:dyDescent="0.3">
      <c r="A553" s="538">
        <v>1</v>
      </c>
      <c r="B553" s="56" t="s">
        <v>25</v>
      </c>
      <c r="C553" s="57" t="s">
        <v>6</v>
      </c>
      <c r="D553" s="57" t="s">
        <v>7</v>
      </c>
      <c r="E553" s="210"/>
      <c r="F553" s="108"/>
      <c r="G553" s="108"/>
      <c r="H553" s="59"/>
      <c r="I553" s="59"/>
      <c r="J553" s="59"/>
      <c r="K553" s="59"/>
      <c r="L553" s="59"/>
      <c r="M553" s="59"/>
      <c r="N553" s="59"/>
      <c r="O553" s="59"/>
      <c r="P553" s="59"/>
      <c r="Q553" s="59">
        <f>SUM(Tablo2[[#This Row],[Ocak]:[Aralık]])</f>
        <v>0</v>
      </c>
    </row>
    <row r="554" spans="1:17" x14ac:dyDescent="0.3">
      <c r="A554" s="538"/>
      <c r="B554" s="56" t="s">
        <v>25</v>
      </c>
      <c r="C554" s="57" t="s">
        <v>6</v>
      </c>
      <c r="D554" s="57" t="s">
        <v>11</v>
      </c>
      <c r="E554" s="210"/>
      <c r="F554" s="108"/>
      <c r="G554" s="108"/>
      <c r="H554" s="59"/>
      <c r="I554" s="59"/>
      <c r="J554" s="59"/>
      <c r="K554" s="59"/>
      <c r="L554" s="59"/>
      <c r="M554" s="59"/>
      <c r="N554" s="59"/>
      <c r="O554" s="59"/>
      <c r="P554" s="59"/>
      <c r="Q554" s="59">
        <f>SUM(Tablo2[[#This Row],[Ocak]:[Aralık]])</f>
        <v>0</v>
      </c>
    </row>
    <row r="555" spans="1:17" x14ac:dyDescent="0.3">
      <c r="A555" s="538"/>
      <c r="B555" s="56" t="s">
        <v>25</v>
      </c>
      <c r="C555" s="57" t="s">
        <v>6</v>
      </c>
      <c r="D555" s="57" t="s">
        <v>15</v>
      </c>
      <c r="E555" s="210"/>
      <c r="F555" s="108"/>
      <c r="G555" s="108"/>
      <c r="H555" s="59"/>
      <c r="I555" s="59"/>
      <c r="J555" s="59"/>
      <c r="K555" s="59"/>
      <c r="L555" s="59"/>
      <c r="M555" s="59"/>
      <c r="N555" s="59"/>
      <c r="O555" s="59"/>
      <c r="P555" s="59"/>
      <c r="Q555" s="59">
        <f>SUM(Tablo2[[#This Row],[Ocak]:[Aralık]])</f>
        <v>0</v>
      </c>
    </row>
    <row r="556" spans="1:17" x14ac:dyDescent="0.3">
      <c r="A556" s="538"/>
      <c r="B556" s="56" t="s">
        <v>25</v>
      </c>
      <c r="C556" s="57" t="s">
        <v>6</v>
      </c>
      <c r="D556" s="57" t="s">
        <v>19</v>
      </c>
      <c r="E556" s="210"/>
      <c r="F556" s="108"/>
      <c r="G556" s="108"/>
      <c r="H556" s="59"/>
      <c r="I556" s="59"/>
      <c r="J556" s="59"/>
      <c r="K556" s="59"/>
      <c r="L556" s="59"/>
      <c r="M556" s="59"/>
      <c r="N556" s="59"/>
      <c r="O556" s="59"/>
      <c r="P556" s="59"/>
      <c r="Q556" s="59">
        <f>SUM(Tablo2[[#This Row],[Ocak]:[Aralık]])</f>
        <v>0</v>
      </c>
    </row>
    <row r="557" spans="1:17" x14ac:dyDescent="0.3">
      <c r="A557" s="538"/>
      <c r="B557" s="56" t="s">
        <v>25</v>
      </c>
      <c r="C557" s="57" t="s">
        <v>6</v>
      </c>
      <c r="D557" s="57" t="s">
        <v>22</v>
      </c>
      <c r="E557" s="210"/>
      <c r="F557" s="108"/>
      <c r="G557" s="108"/>
      <c r="H557" s="59"/>
      <c r="I557" s="59"/>
      <c r="J557" s="59"/>
      <c r="K557" s="59"/>
      <c r="L557" s="59"/>
      <c r="M557" s="59"/>
      <c r="N557" s="59"/>
      <c r="O557" s="59"/>
      <c r="P557" s="59"/>
      <c r="Q557" s="59">
        <f>SUM(Tablo2[[#This Row],[Ocak]:[Aralık]])</f>
        <v>0</v>
      </c>
    </row>
    <row r="558" spans="1:17" x14ac:dyDescent="0.3">
      <c r="A558" s="538"/>
      <c r="B558" s="56" t="s">
        <v>25</v>
      </c>
      <c r="C558" s="57" t="s">
        <v>6</v>
      </c>
      <c r="D558" s="57" t="s">
        <v>25</v>
      </c>
      <c r="E558" s="210"/>
      <c r="F558" s="108"/>
      <c r="G558" s="108"/>
      <c r="H558" s="59"/>
      <c r="I558" s="59"/>
      <c r="J558" s="59"/>
      <c r="K558" s="59"/>
      <c r="L558" s="59">
        <v>755</v>
      </c>
      <c r="M558" s="59">
        <v>90</v>
      </c>
      <c r="N558" s="59"/>
      <c r="O558" s="59"/>
      <c r="P558" s="59"/>
      <c r="Q558" s="59">
        <f>SUM(Tablo2[[#This Row],[Ocak]:[Aralık]])</f>
        <v>845</v>
      </c>
    </row>
    <row r="559" spans="1:17" x14ac:dyDescent="0.3">
      <c r="A559" s="538"/>
      <c r="B559" s="56" t="s">
        <v>25</v>
      </c>
      <c r="C559" s="57" t="s">
        <v>6</v>
      </c>
      <c r="D559" s="57" t="s">
        <v>28</v>
      </c>
      <c r="E559" s="210"/>
      <c r="F559" s="108"/>
      <c r="G559" s="108"/>
      <c r="H559" s="59"/>
      <c r="I559" s="59"/>
      <c r="J559" s="59"/>
      <c r="K559" s="59"/>
      <c r="L559" s="59"/>
      <c r="M559" s="59"/>
      <c r="N559" s="59"/>
      <c r="O559" s="59"/>
      <c r="P559" s="59"/>
      <c r="Q559" s="59">
        <f>SUM(Tablo2[[#This Row],[Ocak]:[Aralık]])</f>
        <v>0</v>
      </c>
    </row>
    <row r="560" spans="1:17" x14ac:dyDescent="0.3">
      <c r="A560" s="538"/>
      <c r="B560" s="56" t="s">
        <v>25</v>
      </c>
      <c r="C560" s="57" t="s">
        <v>6</v>
      </c>
      <c r="D560" s="57" t="s">
        <v>31</v>
      </c>
      <c r="E560" s="210"/>
      <c r="F560" s="108"/>
      <c r="G560" s="108"/>
      <c r="H560" s="59"/>
      <c r="I560" s="59"/>
      <c r="J560" s="59"/>
      <c r="K560" s="59"/>
      <c r="L560" s="59"/>
      <c r="M560" s="59"/>
      <c r="N560" s="59"/>
      <c r="O560" s="59"/>
      <c r="P560" s="59"/>
      <c r="Q560" s="59">
        <f>SUM(Tablo2[[#This Row],[Ocak]:[Aralık]])</f>
        <v>0</v>
      </c>
    </row>
    <row r="561" spans="1:26" x14ac:dyDescent="0.3">
      <c r="A561" s="538"/>
      <c r="B561" s="56" t="s">
        <v>25</v>
      </c>
      <c r="C561" s="57" t="s">
        <v>6</v>
      </c>
      <c r="D561" s="57" t="s">
        <v>34</v>
      </c>
      <c r="E561" s="210"/>
      <c r="F561" s="108"/>
      <c r="G561" s="108"/>
      <c r="H561" s="59"/>
      <c r="I561" s="59"/>
      <c r="J561" s="59"/>
      <c r="K561" s="59"/>
      <c r="L561" s="59"/>
      <c r="M561" s="59"/>
      <c r="N561" s="59"/>
      <c r="O561" s="59"/>
      <c r="P561" s="59"/>
      <c r="Q561" s="59">
        <f>SUM(Tablo2[[#This Row],[Ocak]:[Aralık]])</f>
        <v>0</v>
      </c>
    </row>
    <row r="562" spans="1:26" x14ac:dyDescent="0.3">
      <c r="A562" s="538"/>
      <c r="B562" s="56" t="s">
        <v>25</v>
      </c>
      <c r="C562" s="57" t="s">
        <v>6</v>
      </c>
      <c r="D562" s="57" t="s">
        <v>37</v>
      </c>
      <c r="E562" s="210"/>
      <c r="F562" s="108"/>
      <c r="G562" s="108"/>
      <c r="H562" s="59"/>
      <c r="I562" s="59"/>
      <c r="J562" s="59"/>
      <c r="K562" s="59"/>
      <c r="L562" s="59">
        <v>180</v>
      </c>
      <c r="M562" s="59">
        <v>300</v>
      </c>
      <c r="N562" s="59"/>
      <c r="O562" s="59"/>
      <c r="P562" s="59"/>
      <c r="Q562" s="59">
        <f>SUM(Tablo2[[#This Row],[Ocak]:[Aralık]])</f>
        <v>480</v>
      </c>
    </row>
    <row r="563" spans="1:26" x14ac:dyDescent="0.3">
      <c r="A563" s="538"/>
      <c r="B563" s="56" t="s">
        <v>25</v>
      </c>
      <c r="C563" s="57" t="s">
        <v>6</v>
      </c>
      <c r="D563" s="57" t="s">
        <v>39</v>
      </c>
      <c r="E563" s="210"/>
      <c r="F563" s="108"/>
      <c r="G563" s="108"/>
      <c r="H563" s="59"/>
      <c r="I563" s="59"/>
      <c r="J563" s="59"/>
      <c r="K563" s="59"/>
      <c r="L563" s="59"/>
      <c r="M563" s="59"/>
      <c r="N563" s="59"/>
      <c r="O563" s="59"/>
      <c r="P563" s="59"/>
      <c r="Q563" s="59">
        <f>SUM(Tablo2[[#This Row],[Ocak]:[Aralık]])</f>
        <v>0</v>
      </c>
    </row>
    <row r="564" spans="1:26" x14ac:dyDescent="0.25">
      <c r="A564" s="538"/>
      <c r="B564" s="56" t="s">
        <v>25</v>
      </c>
      <c r="C564" s="57" t="s">
        <v>6</v>
      </c>
      <c r="D564" s="57" t="s">
        <v>42</v>
      </c>
      <c r="E564" s="210"/>
      <c r="F564" s="108"/>
      <c r="G564" s="108"/>
      <c r="H564" s="59"/>
      <c r="I564" s="59"/>
      <c r="J564" s="59"/>
      <c r="K564" s="59"/>
      <c r="L564" s="59"/>
      <c r="M564" s="59"/>
      <c r="N564" s="59"/>
      <c r="O564" s="59"/>
      <c r="P564" s="59"/>
      <c r="Q564" s="59">
        <f>SUM(Tablo2[[#This Row],[Ocak]:[Aralık]])</f>
        <v>0</v>
      </c>
      <c r="U564" s="474"/>
      <c r="V564" s="474"/>
      <c r="W564" s="474"/>
      <c r="X564" s="474"/>
      <c r="Y564" s="474"/>
      <c r="Z564" s="474"/>
    </row>
    <row r="565" spans="1:26" x14ac:dyDescent="0.25">
      <c r="A565" s="538"/>
      <c r="B565" s="56" t="s">
        <v>25</v>
      </c>
      <c r="C565" s="57" t="s">
        <v>6</v>
      </c>
      <c r="D565" s="57" t="s">
        <v>45</v>
      </c>
      <c r="E565" s="210"/>
      <c r="F565" s="108"/>
      <c r="G565" s="108"/>
      <c r="H565" s="59"/>
      <c r="I565" s="59"/>
      <c r="J565" s="59"/>
      <c r="K565" s="59"/>
      <c r="L565" s="59"/>
      <c r="M565" s="59"/>
      <c r="N565" s="59"/>
      <c r="O565" s="59"/>
      <c r="P565" s="59"/>
      <c r="Q565" s="59">
        <f>SUM(Tablo2[[#This Row],[Ocak]:[Aralık]])</f>
        <v>0</v>
      </c>
      <c r="U565" s="474"/>
      <c r="V565" s="474"/>
      <c r="W565" s="474"/>
      <c r="X565" s="474"/>
      <c r="Y565" s="474"/>
      <c r="Z565" s="474"/>
    </row>
    <row r="566" spans="1:26" x14ac:dyDescent="0.25">
      <c r="A566" s="538"/>
      <c r="B566" s="56" t="s">
        <v>25</v>
      </c>
      <c r="C566" s="57" t="s">
        <v>6</v>
      </c>
      <c r="D566" s="57" t="s">
        <v>48</v>
      </c>
      <c r="E566" s="210"/>
      <c r="F566" s="108"/>
      <c r="G566" s="108"/>
      <c r="H566" s="59"/>
      <c r="I566" s="59"/>
      <c r="J566" s="59"/>
      <c r="K566" s="59"/>
      <c r="L566" s="59"/>
      <c r="M566" s="59"/>
      <c r="N566" s="59"/>
      <c r="O566" s="59"/>
      <c r="P566" s="59"/>
      <c r="Q566" s="59">
        <f>SUM(Tablo2[[#This Row],[Ocak]:[Aralık]])</f>
        <v>0</v>
      </c>
      <c r="U566" s="474"/>
      <c r="V566" s="474"/>
      <c r="W566" s="474"/>
      <c r="X566" s="474"/>
      <c r="Y566" s="474"/>
      <c r="Z566" s="474"/>
    </row>
    <row r="567" spans="1:26" x14ac:dyDescent="0.25">
      <c r="A567" s="538"/>
      <c r="B567" s="56" t="s">
        <v>25</v>
      </c>
      <c r="C567" s="57" t="s">
        <v>6</v>
      </c>
      <c r="D567" s="57" t="s">
        <v>50</v>
      </c>
      <c r="E567" s="210"/>
      <c r="F567" s="108"/>
      <c r="G567" s="108"/>
      <c r="H567" s="59"/>
      <c r="I567" s="59"/>
      <c r="J567" s="59"/>
      <c r="K567" s="59"/>
      <c r="L567" s="59"/>
      <c r="M567" s="59"/>
      <c r="N567" s="59"/>
      <c r="O567" s="59"/>
      <c r="P567" s="59"/>
      <c r="Q567" s="59">
        <f>SUM(Tablo2[[#This Row],[Ocak]:[Aralık]])</f>
        <v>0</v>
      </c>
      <c r="U567" s="474"/>
      <c r="V567" s="474"/>
      <c r="W567" s="474"/>
      <c r="X567" s="474"/>
      <c r="Y567" s="474"/>
      <c r="Z567" s="474"/>
    </row>
    <row r="568" spans="1:26" x14ac:dyDescent="0.25">
      <c r="A568" s="538">
        <v>2</v>
      </c>
      <c r="B568" s="56" t="s">
        <v>25</v>
      </c>
      <c r="C568" s="57" t="s">
        <v>10</v>
      </c>
      <c r="D568" s="57" t="s">
        <v>7</v>
      </c>
      <c r="E568" s="210"/>
      <c r="F568" s="108"/>
      <c r="G568" s="108"/>
      <c r="H568" s="59"/>
      <c r="I568" s="59"/>
      <c r="J568" s="59"/>
      <c r="K568" s="59"/>
      <c r="L568" s="59"/>
      <c r="M568" s="59"/>
      <c r="N568" s="59"/>
      <c r="O568" s="59"/>
      <c r="P568" s="59"/>
      <c r="Q568" s="59">
        <f>SUM(Tablo2[[#This Row],[Ocak]:[Aralık]])</f>
        <v>0</v>
      </c>
      <c r="U568" s="474"/>
      <c r="V568" s="474"/>
      <c r="W568" s="474"/>
      <c r="X568" s="474"/>
      <c r="Y568" s="474"/>
      <c r="Z568" s="474"/>
    </row>
    <row r="569" spans="1:26" x14ac:dyDescent="0.25">
      <c r="A569" s="538"/>
      <c r="B569" s="56" t="s">
        <v>25</v>
      </c>
      <c r="C569" s="57" t="s">
        <v>10</v>
      </c>
      <c r="D569" s="57" t="s">
        <v>11</v>
      </c>
      <c r="E569" s="210"/>
      <c r="F569" s="108"/>
      <c r="G569" s="108"/>
      <c r="H569" s="59"/>
      <c r="I569" s="59"/>
      <c r="J569" s="59"/>
      <c r="K569" s="59"/>
      <c r="L569" s="59"/>
      <c r="M569" s="59"/>
      <c r="N569" s="59"/>
      <c r="O569" s="59"/>
      <c r="P569" s="59"/>
      <c r="Q569" s="59">
        <f>SUM(Tablo2[[#This Row],[Ocak]:[Aralık]])</f>
        <v>0</v>
      </c>
      <c r="U569" s="474"/>
      <c r="V569" s="474"/>
      <c r="W569" s="474"/>
      <c r="X569" s="474"/>
      <c r="Y569" s="474"/>
      <c r="Z569" s="474"/>
    </row>
    <row r="570" spans="1:26" x14ac:dyDescent="0.25">
      <c r="A570" s="538"/>
      <c r="B570" s="56" t="s">
        <v>25</v>
      </c>
      <c r="C570" s="57" t="s">
        <v>10</v>
      </c>
      <c r="D570" s="57" t="s">
        <v>15</v>
      </c>
      <c r="E570" s="210"/>
      <c r="F570" s="108"/>
      <c r="G570" s="108"/>
      <c r="H570" s="59"/>
      <c r="I570" s="59"/>
      <c r="J570" s="59"/>
      <c r="K570" s="59"/>
      <c r="L570" s="59">
        <v>180</v>
      </c>
      <c r="M570" s="59">
        <v>480</v>
      </c>
      <c r="N570" s="59"/>
      <c r="O570" s="59"/>
      <c r="P570" s="59"/>
      <c r="Q570" s="59">
        <f>SUM(Tablo2[[#This Row],[Ocak]:[Aralık]])</f>
        <v>660</v>
      </c>
      <c r="U570" s="474"/>
      <c r="V570" s="474"/>
      <c r="W570" s="474"/>
      <c r="X570" s="474"/>
      <c r="Y570" s="474"/>
      <c r="Z570" s="474"/>
    </row>
    <row r="571" spans="1:26" x14ac:dyDescent="0.25">
      <c r="A571" s="538"/>
      <c r="B571" s="56" t="s">
        <v>25</v>
      </c>
      <c r="C571" s="57" t="s">
        <v>10</v>
      </c>
      <c r="D571" s="57" t="s">
        <v>19</v>
      </c>
      <c r="E571" s="210"/>
      <c r="F571" s="108"/>
      <c r="G571" s="108"/>
      <c r="H571" s="59"/>
      <c r="I571" s="59"/>
      <c r="J571" s="59"/>
      <c r="K571" s="59"/>
      <c r="L571" s="59"/>
      <c r="M571" s="59"/>
      <c r="N571" s="59"/>
      <c r="O571" s="59"/>
      <c r="P571" s="59"/>
      <c r="Q571" s="59">
        <f>SUM(Tablo2[[#This Row],[Ocak]:[Aralık]])</f>
        <v>0</v>
      </c>
      <c r="U571" s="474"/>
      <c r="V571" s="474"/>
      <c r="W571" s="474"/>
      <c r="X571" s="474"/>
      <c r="Y571" s="474"/>
      <c r="Z571" s="474"/>
    </row>
    <row r="572" spans="1:26" x14ac:dyDescent="0.25">
      <c r="A572" s="538"/>
      <c r="B572" s="56" t="s">
        <v>25</v>
      </c>
      <c r="C572" s="57" t="s">
        <v>10</v>
      </c>
      <c r="D572" s="57" t="s">
        <v>22</v>
      </c>
      <c r="E572" s="210"/>
      <c r="F572" s="108"/>
      <c r="G572" s="108"/>
      <c r="H572" s="59"/>
      <c r="I572" s="59"/>
      <c r="J572" s="59"/>
      <c r="K572" s="59"/>
      <c r="L572" s="59"/>
      <c r="M572" s="59"/>
      <c r="N572" s="59"/>
      <c r="O572" s="59"/>
      <c r="P572" s="59"/>
      <c r="Q572" s="59">
        <f>SUM(Tablo2[[#This Row],[Ocak]:[Aralık]])</f>
        <v>0</v>
      </c>
      <c r="U572" s="474"/>
      <c r="V572" s="474"/>
      <c r="W572" s="474"/>
      <c r="X572" s="474"/>
      <c r="Y572" s="474"/>
      <c r="Z572" s="474"/>
    </row>
    <row r="573" spans="1:26" x14ac:dyDescent="0.25">
      <c r="A573" s="538"/>
      <c r="B573" s="56" t="s">
        <v>25</v>
      </c>
      <c r="C573" s="57" t="s">
        <v>10</v>
      </c>
      <c r="D573" s="57" t="s">
        <v>25</v>
      </c>
      <c r="E573" s="210"/>
      <c r="F573" s="108"/>
      <c r="G573" s="108"/>
      <c r="H573" s="59"/>
      <c r="I573" s="59"/>
      <c r="J573" s="59"/>
      <c r="K573" s="59"/>
      <c r="L573" s="59">
        <v>2945</v>
      </c>
      <c r="M573" s="59"/>
      <c r="N573" s="59"/>
      <c r="O573" s="59"/>
      <c r="P573" s="59"/>
      <c r="Q573" s="59">
        <f>SUM(Tablo2[[#This Row],[Ocak]:[Aralık]])</f>
        <v>2945</v>
      </c>
      <c r="U573" s="474"/>
      <c r="V573" s="474"/>
      <c r="W573" s="474"/>
      <c r="X573" s="474"/>
      <c r="Y573" s="474"/>
      <c r="Z573" s="474"/>
    </row>
    <row r="574" spans="1:26" x14ac:dyDescent="0.25">
      <c r="A574" s="538"/>
      <c r="B574" s="56" t="s">
        <v>25</v>
      </c>
      <c r="C574" s="57" t="s">
        <v>10</v>
      </c>
      <c r="D574" s="57" t="s">
        <v>28</v>
      </c>
      <c r="E574" s="210"/>
      <c r="F574" s="108"/>
      <c r="G574" s="108"/>
      <c r="H574" s="59"/>
      <c r="I574" s="59"/>
      <c r="J574" s="59"/>
      <c r="K574" s="59"/>
      <c r="L574" s="59">
        <v>450</v>
      </c>
      <c r="M574" s="59"/>
      <c r="N574" s="59"/>
      <c r="O574" s="59"/>
      <c r="P574" s="59"/>
      <c r="Q574" s="59">
        <f>SUM(Tablo2[[#This Row],[Ocak]:[Aralık]])</f>
        <v>450</v>
      </c>
      <c r="U574" s="474"/>
      <c r="V574" s="474"/>
      <c r="W574" s="474"/>
      <c r="X574" s="474"/>
      <c r="Y574" s="474"/>
      <c r="Z574" s="474"/>
    </row>
    <row r="575" spans="1:26" x14ac:dyDescent="0.25">
      <c r="A575" s="538"/>
      <c r="B575" s="56" t="s">
        <v>25</v>
      </c>
      <c r="C575" s="57" t="s">
        <v>10</v>
      </c>
      <c r="D575" s="57" t="s">
        <v>31</v>
      </c>
      <c r="E575" s="210"/>
      <c r="F575" s="108"/>
      <c r="G575" s="108"/>
      <c r="H575" s="59"/>
      <c r="I575" s="59"/>
      <c r="J575" s="59"/>
      <c r="K575" s="59"/>
      <c r="L575" s="59"/>
      <c r="M575" s="59"/>
      <c r="N575" s="59"/>
      <c r="O575" s="59"/>
      <c r="P575" s="59"/>
      <c r="Q575" s="59">
        <f>SUM(Tablo2[[#This Row],[Ocak]:[Aralık]])</f>
        <v>0</v>
      </c>
      <c r="U575" s="474"/>
      <c r="V575" s="474"/>
      <c r="W575" s="474"/>
      <c r="X575" s="474"/>
      <c r="Y575" s="474"/>
      <c r="Z575" s="474"/>
    </row>
    <row r="576" spans="1:26" x14ac:dyDescent="0.25">
      <c r="A576" s="538"/>
      <c r="B576" s="56" t="s">
        <v>25</v>
      </c>
      <c r="C576" s="57" t="s">
        <v>10</v>
      </c>
      <c r="D576" s="57" t="s">
        <v>34</v>
      </c>
      <c r="E576" s="210"/>
      <c r="F576" s="108"/>
      <c r="G576" s="108"/>
      <c r="H576" s="59"/>
      <c r="I576" s="59"/>
      <c r="J576" s="59"/>
      <c r="K576" s="59"/>
      <c r="L576" s="59"/>
      <c r="M576" s="59"/>
      <c r="N576" s="59"/>
      <c r="O576" s="59"/>
      <c r="P576" s="59"/>
      <c r="Q576" s="59">
        <f>SUM(Tablo2[[#This Row],[Ocak]:[Aralık]])</f>
        <v>0</v>
      </c>
      <c r="U576" s="474"/>
      <c r="V576" s="474"/>
      <c r="W576" s="474"/>
      <c r="X576" s="474"/>
      <c r="Y576" s="474"/>
      <c r="Z576" s="474"/>
    </row>
    <row r="577" spans="1:26" x14ac:dyDescent="0.25">
      <c r="A577" s="538"/>
      <c r="B577" s="56" t="s">
        <v>25</v>
      </c>
      <c r="C577" s="57" t="s">
        <v>10</v>
      </c>
      <c r="D577" s="57" t="s">
        <v>37</v>
      </c>
      <c r="E577" s="210"/>
      <c r="F577" s="108"/>
      <c r="G577" s="108"/>
      <c r="H577" s="59"/>
      <c r="I577" s="59"/>
      <c r="J577" s="59"/>
      <c r="K577" s="59"/>
      <c r="L577" s="59">
        <v>340</v>
      </c>
      <c r="M577" s="59">
        <v>5005</v>
      </c>
      <c r="N577" s="59"/>
      <c r="O577" s="59"/>
      <c r="P577" s="59"/>
      <c r="Q577" s="59">
        <f>SUM(Tablo2[[#This Row],[Ocak]:[Aralık]])</f>
        <v>5345</v>
      </c>
      <c r="U577" s="474"/>
      <c r="V577" s="474"/>
      <c r="W577" s="474"/>
      <c r="X577" s="474"/>
      <c r="Y577" s="474"/>
      <c r="Z577" s="474"/>
    </row>
    <row r="578" spans="1:26" x14ac:dyDescent="0.25">
      <c r="A578" s="538"/>
      <c r="B578" s="56" t="s">
        <v>25</v>
      </c>
      <c r="C578" s="57" t="s">
        <v>10</v>
      </c>
      <c r="D578" s="57" t="s">
        <v>39</v>
      </c>
      <c r="E578" s="210"/>
      <c r="F578" s="108"/>
      <c r="G578" s="108"/>
      <c r="H578" s="59"/>
      <c r="I578" s="59"/>
      <c r="J578" s="59"/>
      <c r="K578" s="59"/>
      <c r="L578" s="59"/>
      <c r="M578" s="59"/>
      <c r="N578" s="59"/>
      <c r="O578" s="59"/>
      <c r="P578" s="59"/>
      <c r="Q578" s="59">
        <f>SUM(Tablo2[[#This Row],[Ocak]:[Aralık]])</f>
        <v>0</v>
      </c>
      <c r="U578" s="478"/>
      <c r="V578" s="474"/>
      <c r="W578" s="475"/>
      <c r="X578" s="464"/>
    </row>
    <row r="579" spans="1:26" x14ac:dyDescent="0.25">
      <c r="A579" s="538"/>
      <c r="B579" s="56" t="s">
        <v>25</v>
      </c>
      <c r="C579" s="57" t="s">
        <v>10</v>
      </c>
      <c r="D579" s="57" t="s">
        <v>42</v>
      </c>
      <c r="E579" s="210"/>
      <c r="F579" s="108"/>
      <c r="G579" s="108"/>
      <c r="H579" s="59"/>
      <c r="I579" s="59"/>
      <c r="J579" s="59"/>
      <c r="K579" s="59"/>
      <c r="L579" s="59"/>
      <c r="M579" s="59"/>
      <c r="N579" s="59"/>
      <c r="O579" s="59"/>
      <c r="P579" s="59"/>
      <c r="Q579" s="59">
        <f>SUM(Tablo2[[#This Row],[Ocak]:[Aralık]])</f>
        <v>0</v>
      </c>
      <c r="U579" s="478"/>
      <c r="V579" s="474"/>
      <c r="W579" s="475"/>
      <c r="X579" s="464"/>
    </row>
    <row r="580" spans="1:26" x14ac:dyDescent="0.25">
      <c r="A580" s="538"/>
      <c r="B580" s="56" t="s">
        <v>25</v>
      </c>
      <c r="C580" s="57" t="s">
        <v>10</v>
      </c>
      <c r="D580" s="57" t="s">
        <v>45</v>
      </c>
      <c r="E580" s="210"/>
      <c r="F580" s="108"/>
      <c r="G580" s="108"/>
      <c r="H580" s="59"/>
      <c r="I580" s="59"/>
      <c r="J580" s="59"/>
      <c r="K580" s="59"/>
      <c r="L580" s="59"/>
      <c r="M580" s="59"/>
      <c r="N580" s="59"/>
      <c r="O580" s="59"/>
      <c r="P580" s="59"/>
      <c r="Q580" s="59">
        <f>SUM(Tablo2[[#This Row],[Ocak]:[Aralık]])</f>
        <v>0</v>
      </c>
      <c r="U580" s="478"/>
      <c r="V580" s="474"/>
      <c r="W580" s="475"/>
      <c r="X580" s="464"/>
    </row>
    <row r="581" spans="1:26" x14ac:dyDescent="0.25">
      <c r="A581" s="538"/>
      <c r="B581" s="56" t="s">
        <v>25</v>
      </c>
      <c r="C581" s="57" t="s">
        <v>10</v>
      </c>
      <c r="D581" s="57" t="s">
        <v>48</v>
      </c>
      <c r="E581" s="210"/>
      <c r="F581" s="108"/>
      <c r="G581" s="108"/>
      <c r="H581" s="59"/>
      <c r="I581" s="59"/>
      <c r="J581" s="59"/>
      <c r="K581" s="59"/>
      <c r="L581" s="59"/>
      <c r="M581" s="59"/>
      <c r="N581" s="59"/>
      <c r="O581" s="59"/>
      <c r="P581" s="59"/>
      <c r="Q581" s="59">
        <f>SUM(Tablo2[[#This Row],[Ocak]:[Aralık]])</f>
        <v>0</v>
      </c>
      <c r="U581" s="478"/>
      <c r="V581" s="474"/>
      <c r="W581" s="475"/>
      <c r="X581" s="464"/>
    </row>
    <row r="582" spans="1:26" x14ac:dyDescent="0.25">
      <c r="A582" s="538"/>
      <c r="B582" s="56" t="s">
        <v>25</v>
      </c>
      <c r="C582" s="57" t="s">
        <v>10</v>
      </c>
      <c r="D582" s="57" t="s">
        <v>50</v>
      </c>
      <c r="E582" s="210"/>
      <c r="F582" s="108"/>
      <c r="G582" s="108"/>
      <c r="H582" s="59"/>
      <c r="I582" s="59"/>
      <c r="J582" s="59"/>
      <c r="K582" s="59"/>
      <c r="L582" s="59"/>
      <c r="M582" s="59"/>
      <c r="N582" s="59"/>
      <c r="O582" s="59"/>
      <c r="P582" s="59"/>
      <c r="Q582" s="59">
        <f>SUM(Tablo2[[#This Row],[Ocak]:[Aralık]])</f>
        <v>0</v>
      </c>
      <c r="U582" s="478"/>
      <c r="V582" s="474"/>
      <c r="W582" s="475"/>
      <c r="X582" s="464"/>
    </row>
    <row r="583" spans="1:26" x14ac:dyDescent="0.25">
      <c r="A583" s="54">
        <v>5</v>
      </c>
      <c r="B583" s="56" t="s">
        <v>25</v>
      </c>
      <c r="C583" s="57" t="s">
        <v>14</v>
      </c>
      <c r="D583" s="57"/>
      <c r="E583" s="210"/>
      <c r="F583" s="108"/>
      <c r="G583" s="108"/>
      <c r="H583" s="59"/>
      <c r="I583" s="59"/>
      <c r="J583" s="59"/>
      <c r="K583" s="59"/>
      <c r="L583" s="59">
        <v>100</v>
      </c>
      <c r="M583" s="59">
        <v>80</v>
      </c>
      <c r="N583" s="59"/>
      <c r="O583" s="59"/>
      <c r="P583" s="59"/>
      <c r="Q583" s="59">
        <f>SUM(Tablo2[[#This Row],[Ocak]:[Aralık]])</f>
        <v>180</v>
      </c>
      <c r="U583" s="478"/>
      <c r="V583" s="474"/>
      <c r="W583" s="475"/>
      <c r="X583" s="464"/>
    </row>
    <row r="584" spans="1:26" x14ac:dyDescent="0.25">
      <c r="A584" s="54">
        <v>6</v>
      </c>
      <c r="B584" s="56" t="s">
        <v>25</v>
      </c>
      <c r="C584" s="57" t="s">
        <v>18</v>
      </c>
      <c r="D584" s="57"/>
      <c r="E584" s="210"/>
      <c r="F584" s="108"/>
      <c r="G584" s="108"/>
      <c r="H584" s="59"/>
      <c r="I584" s="59"/>
      <c r="J584" s="59"/>
      <c r="K584" s="59"/>
      <c r="L584" s="59"/>
      <c r="M584" s="59"/>
      <c r="N584" s="59"/>
      <c r="O584" s="59"/>
      <c r="P584" s="59"/>
      <c r="Q584" s="59">
        <f>SUM(Tablo2[[#This Row],[Ocak]:[Aralık]])</f>
        <v>0</v>
      </c>
      <c r="U584" s="478"/>
      <c r="V584" s="474"/>
      <c r="W584" s="475"/>
      <c r="X584" s="464"/>
    </row>
    <row r="585" spans="1:26" x14ac:dyDescent="0.25">
      <c r="A585" s="54">
        <v>7</v>
      </c>
      <c r="B585" s="56" t="s">
        <v>25</v>
      </c>
      <c r="C585" s="57" t="s">
        <v>21</v>
      </c>
      <c r="D585" s="57"/>
      <c r="E585" s="210"/>
      <c r="F585" s="108"/>
      <c r="G585" s="108"/>
      <c r="H585" s="59"/>
      <c r="I585" s="59"/>
      <c r="J585" s="59"/>
      <c r="K585" s="59"/>
      <c r="L585" s="59"/>
      <c r="M585" s="59"/>
      <c r="N585" s="59"/>
      <c r="O585" s="59"/>
      <c r="P585" s="59"/>
      <c r="Q585" s="59">
        <f>SUM(Tablo2[[#This Row],[Ocak]:[Aralık]])</f>
        <v>0</v>
      </c>
      <c r="U585" s="478"/>
      <c r="V585" s="474"/>
      <c r="W585" s="475"/>
      <c r="X585" s="464"/>
    </row>
    <row r="586" spans="1:26" x14ac:dyDescent="0.25">
      <c r="A586" s="54">
        <v>8</v>
      </c>
      <c r="B586" s="56" t="s">
        <v>25</v>
      </c>
      <c r="C586" s="57" t="s">
        <v>24</v>
      </c>
      <c r="D586" s="57"/>
      <c r="E586" s="210"/>
      <c r="F586" s="108"/>
      <c r="G586" s="108"/>
      <c r="H586" s="59"/>
      <c r="I586" s="59"/>
      <c r="J586" s="59"/>
      <c r="K586" s="59"/>
      <c r="L586" s="59">
        <v>725</v>
      </c>
      <c r="M586" s="59"/>
      <c r="N586" s="59"/>
      <c r="O586" s="59"/>
      <c r="P586" s="59"/>
      <c r="Q586" s="59">
        <f>SUM(Tablo2[[#This Row],[Ocak]:[Aralık]])</f>
        <v>725</v>
      </c>
      <c r="U586" s="478"/>
      <c r="V586" s="474"/>
      <c r="W586" s="475"/>
      <c r="X586" s="464"/>
    </row>
    <row r="587" spans="1:26" x14ac:dyDescent="0.25">
      <c r="A587" s="54">
        <v>9</v>
      </c>
      <c r="B587" s="56" t="s">
        <v>25</v>
      </c>
      <c r="C587" s="57" t="s">
        <v>27</v>
      </c>
      <c r="D587" s="57"/>
      <c r="E587" s="210"/>
      <c r="F587" s="108"/>
      <c r="G587" s="108"/>
      <c r="H587" s="59"/>
      <c r="I587" s="59"/>
      <c r="J587" s="59"/>
      <c r="K587" s="59"/>
      <c r="L587" s="59"/>
      <c r="M587" s="59"/>
      <c r="N587" s="59"/>
      <c r="O587" s="59"/>
      <c r="P587" s="59"/>
      <c r="Q587" s="59">
        <f>SUM(Tablo2[[#This Row],[Ocak]:[Aralık]])</f>
        <v>0</v>
      </c>
      <c r="U587" s="478"/>
      <c r="V587" s="474"/>
      <c r="W587" s="475"/>
      <c r="X587" s="464"/>
    </row>
    <row r="588" spans="1:26" x14ac:dyDescent="0.25">
      <c r="A588" s="54">
        <v>10</v>
      </c>
      <c r="B588" s="56" t="s">
        <v>25</v>
      </c>
      <c r="C588" s="57" t="s">
        <v>30</v>
      </c>
      <c r="D588" s="57"/>
      <c r="E588" s="210"/>
      <c r="F588" s="108"/>
      <c r="G588" s="108"/>
      <c r="H588" s="59"/>
      <c r="I588" s="59"/>
      <c r="J588" s="59"/>
      <c r="K588" s="59"/>
      <c r="L588" s="59"/>
      <c r="M588" s="59"/>
      <c r="N588" s="59"/>
      <c r="O588" s="59"/>
      <c r="P588" s="59"/>
      <c r="Q588" s="59">
        <f>SUM(Tablo2[[#This Row],[Ocak]:[Aralık]])</f>
        <v>0</v>
      </c>
      <c r="U588" s="478"/>
      <c r="V588" s="474"/>
      <c r="W588" s="475"/>
      <c r="X588" s="464"/>
    </row>
    <row r="589" spans="1:26" x14ac:dyDescent="0.25">
      <c r="A589" s="54">
        <v>11</v>
      </c>
      <c r="B589" s="56" t="s">
        <v>25</v>
      </c>
      <c r="C589" s="57" t="s">
        <v>33</v>
      </c>
      <c r="D589" s="57"/>
      <c r="E589" s="210"/>
      <c r="F589" s="108"/>
      <c r="G589" s="108"/>
      <c r="H589" s="59"/>
      <c r="I589" s="59"/>
      <c r="J589" s="59"/>
      <c r="K589" s="59"/>
      <c r="L589" s="59"/>
      <c r="M589" s="59"/>
      <c r="N589" s="59"/>
      <c r="O589" s="59"/>
      <c r="P589" s="59"/>
      <c r="Q589" s="59">
        <f>SUM(Tablo2[[#This Row],[Ocak]:[Aralık]])</f>
        <v>0</v>
      </c>
      <c r="U589" s="478"/>
      <c r="V589" s="474"/>
      <c r="W589" s="475"/>
      <c r="X589" s="464"/>
    </row>
    <row r="590" spans="1:26" x14ac:dyDescent="0.25">
      <c r="A590" s="54">
        <v>12</v>
      </c>
      <c r="B590" s="56" t="s">
        <v>25</v>
      </c>
      <c r="C590" s="57" t="s">
        <v>36</v>
      </c>
      <c r="D590" s="57"/>
      <c r="E590" s="210"/>
      <c r="F590" s="108"/>
      <c r="G590" s="108"/>
      <c r="H590" s="59"/>
      <c r="I590" s="59"/>
      <c r="J590" s="59"/>
      <c r="K590" s="59"/>
      <c r="L590" s="59"/>
      <c r="M590" s="59"/>
      <c r="N590" s="59"/>
      <c r="O590" s="59"/>
      <c r="P590" s="59"/>
      <c r="Q590" s="59">
        <f>SUM(Tablo2[[#This Row],[Ocak]:[Aralık]])</f>
        <v>0</v>
      </c>
      <c r="U590" s="478"/>
      <c r="V590" s="474"/>
      <c r="W590" s="475"/>
      <c r="X590" s="464"/>
    </row>
    <row r="591" spans="1:26" x14ac:dyDescent="0.25">
      <c r="A591" s="54">
        <v>13</v>
      </c>
      <c r="B591" s="56" t="s">
        <v>25</v>
      </c>
      <c r="C591" s="57" t="s">
        <v>38</v>
      </c>
      <c r="D591" s="57"/>
      <c r="E591" s="210"/>
      <c r="F591" s="108"/>
      <c r="G591" s="108"/>
      <c r="H591" s="59"/>
      <c r="I591" s="59"/>
      <c r="J591" s="59"/>
      <c r="K591" s="59"/>
      <c r="L591" s="59"/>
      <c r="M591" s="59"/>
      <c r="N591" s="59"/>
      <c r="O591" s="59"/>
      <c r="P591" s="59"/>
      <c r="Q591" s="59">
        <f>SUM(Tablo2[[#This Row],[Ocak]:[Aralık]])</f>
        <v>0</v>
      </c>
      <c r="U591" s="478"/>
      <c r="V591" s="474"/>
      <c r="W591" s="475"/>
      <c r="X591" s="464"/>
    </row>
    <row r="592" spans="1:26" x14ac:dyDescent="0.25">
      <c r="A592" s="54">
        <v>14</v>
      </c>
      <c r="B592" s="56" t="s">
        <v>25</v>
      </c>
      <c r="C592" s="57" t="s">
        <v>41</v>
      </c>
      <c r="D592" s="57"/>
      <c r="E592" s="210"/>
      <c r="F592" s="108"/>
      <c r="G592" s="108"/>
      <c r="H592" s="59"/>
      <c r="I592" s="59"/>
      <c r="J592" s="59"/>
      <c r="K592" s="59"/>
      <c r="L592" s="59">
        <v>4690</v>
      </c>
      <c r="M592" s="59"/>
      <c r="N592" s="59"/>
      <c r="O592" s="59"/>
      <c r="P592" s="59"/>
      <c r="Q592" s="59">
        <f>SUM(Tablo2[[#This Row],[Ocak]:[Aralık]])</f>
        <v>4690</v>
      </c>
      <c r="U592" s="478"/>
      <c r="V592" s="474"/>
      <c r="W592" s="475"/>
      <c r="X592" s="464"/>
    </row>
    <row r="593" spans="1:24" x14ac:dyDescent="0.25">
      <c r="A593" s="54">
        <v>15</v>
      </c>
      <c r="B593" s="56" t="s">
        <v>25</v>
      </c>
      <c r="C593" s="57" t="s">
        <v>44</v>
      </c>
      <c r="D593" s="57"/>
      <c r="E593" s="210"/>
      <c r="F593" s="108"/>
      <c r="G593" s="108"/>
      <c r="H593" s="59"/>
      <c r="I593" s="59"/>
      <c r="J593" s="59"/>
      <c r="K593" s="59"/>
      <c r="L593" s="59">
        <v>2940</v>
      </c>
      <c r="M593" s="59">
        <v>2670</v>
      </c>
      <c r="N593" s="59"/>
      <c r="O593" s="59"/>
      <c r="P593" s="59"/>
      <c r="Q593" s="59">
        <f>SUM(Tablo2[[#This Row],[Ocak]:[Aralık]])</f>
        <v>5610</v>
      </c>
      <c r="U593" s="478"/>
      <c r="V593" s="474"/>
      <c r="W593" s="475"/>
      <c r="X593" s="464"/>
    </row>
    <row r="594" spans="1:24" x14ac:dyDescent="0.25">
      <c r="A594" s="54">
        <v>16</v>
      </c>
      <c r="B594" s="56" t="s">
        <v>25</v>
      </c>
      <c r="C594" s="57" t="s">
        <v>47</v>
      </c>
      <c r="D594" s="57"/>
      <c r="E594" s="210"/>
      <c r="F594" s="108"/>
      <c r="G594" s="108"/>
      <c r="H594" s="59"/>
      <c r="I594" s="59"/>
      <c r="J594" s="59"/>
      <c r="K594" s="59"/>
      <c r="L594" s="59">
        <v>50</v>
      </c>
      <c r="M594" s="59">
        <v>437</v>
      </c>
      <c r="N594" s="59"/>
      <c r="O594" s="59"/>
      <c r="P594" s="59"/>
      <c r="Q594" s="59">
        <f>SUM(Tablo2[[#This Row],[Ocak]:[Aralık]])</f>
        <v>487</v>
      </c>
      <c r="U594" s="478"/>
      <c r="V594" s="474"/>
      <c r="W594" s="475"/>
      <c r="X594" s="464"/>
    </row>
    <row r="595" spans="1:24" x14ac:dyDescent="0.25">
      <c r="A595" s="54">
        <v>17</v>
      </c>
      <c r="B595" s="56" t="s">
        <v>25</v>
      </c>
      <c r="C595" s="57" t="s">
        <v>49</v>
      </c>
      <c r="D595" s="57"/>
      <c r="E595" s="210"/>
      <c r="F595" s="108"/>
      <c r="G595" s="108"/>
      <c r="H595" s="59"/>
      <c r="I595" s="59"/>
      <c r="J595" s="59"/>
      <c r="K595" s="59"/>
      <c r="L595" s="59"/>
      <c r="M595" s="59"/>
      <c r="N595" s="59"/>
      <c r="O595" s="59"/>
      <c r="P595" s="59"/>
      <c r="Q595" s="59">
        <f>SUM(Tablo2[[#This Row],[Ocak]:[Aralık]])</f>
        <v>0</v>
      </c>
      <c r="U595" s="478"/>
      <c r="V595" s="474"/>
      <c r="W595" s="475"/>
      <c r="X595" s="464"/>
    </row>
    <row r="596" spans="1:24" x14ac:dyDescent="0.25">
      <c r="A596" s="54">
        <v>18</v>
      </c>
      <c r="B596" s="56" t="s">
        <v>25</v>
      </c>
      <c r="C596" s="57" t="s">
        <v>51</v>
      </c>
      <c r="D596" s="57"/>
      <c r="E596" s="210"/>
      <c r="F596" s="108"/>
      <c r="G596" s="108"/>
      <c r="H596" s="59"/>
      <c r="I596" s="59"/>
      <c r="J596" s="59"/>
      <c r="K596" s="59"/>
      <c r="L596" s="59"/>
      <c r="M596" s="59"/>
      <c r="N596" s="59"/>
      <c r="O596" s="59"/>
      <c r="P596" s="59"/>
      <c r="Q596" s="59">
        <f>SUM(Tablo2[[#This Row],[Ocak]:[Aralık]])</f>
        <v>0</v>
      </c>
      <c r="U596" s="478"/>
      <c r="V596" s="474"/>
      <c r="W596" s="475"/>
      <c r="X596" s="464"/>
    </row>
    <row r="597" spans="1:24" x14ac:dyDescent="0.25">
      <c r="A597" s="54">
        <v>19</v>
      </c>
      <c r="B597" s="56" t="s">
        <v>25</v>
      </c>
      <c r="C597" s="57" t="s">
        <v>52</v>
      </c>
      <c r="D597" s="57"/>
      <c r="E597" s="210"/>
      <c r="F597" s="108"/>
      <c r="G597" s="108"/>
      <c r="H597" s="59"/>
      <c r="I597" s="59"/>
      <c r="J597" s="59"/>
      <c r="K597" s="59"/>
      <c r="L597" s="59">
        <v>80</v>
      </c>
      <c r="M597" s="59">
        <v>120</v>
      </c>
      <c r="N597" s="59"/>
      <c r="O597" s="59"/>
      <c r="P597" s="59"/>
      <c r="Q597" s="59">
        <f>SUM(Tablo2[[#This Row],[Ocak]:[Aralık]])</f>
        <v>200</v>
      </c>
      <c r="U597" s="478"/>
      <c r="V597" s="474"/>
      <c r="W597" s="475"/>
      <c r="X597" s="464"/>
    </row>
    <row r="598" spans="1:24" x14ac:dyDescent="0.25">
      <c r="A598" s="54">
        <v>20</v>
      </c>
      <c r="B598" s="56" t="s">
        <v>25</v>
      </c>
      <c r="C598" s="57" t="s">
        <v>53</v>
      </c>
      <c r="D598" s="57"/>
      <c r="E598" s="210"/>
      <c r="F598" s="108"/>
      <c r="G598" s="108"/>
      <c r="H598" s="59"/>
      <c r="I598" s="59"/>
      <c r="J598" s="59"/>
      <c r="K598" s="59"/>
      <c r="L598" s="59">
        <v>445</v>
      </c>
      <c r="M598" s="59">
        <v>280</v>
      </c>
      <c r="N598" s="59"/>
      <c r="O598" s="59"/>
      <c r="P598" s="59"/>
      <c r="Q598" s="59">
        <f>SUM(Tablo2[[#This Row],[Ocak]:[Aralık]])</f>
        <v>725</v>
      </c>
      <c r="U598" s="478"/>
      <c r="V598" s="474"/>
      <c r="W598" s="475"/>
      <c r="X598" s="464"/>
    </row>
    <row r="599" spans="1:24" x14ac:dyDescent="0.25">
      <c r="A599" s="54">
        <v>21</v>
      </c>
      <c r="B599" s="56" t="s">
        <v>25</v>
      </c>
      <c r="C599" s="57" t="s">
        <v>54</v>
      </c>
      <c r="D599" s="57"/>
      <c r="E599" s="210"/>
      <c r="F599" s="108"/>
      <c r="G599" s="108"/>
      <c r="H599" s="59"/>
      <c r="I599" s="59"/>
      <c r="J599" s="59"/>
      <c r="K599" s="59"/>
      <c r="L599" s="59"/>
      <c r="M599" s="59"/>
      <c r="N599" s="59"/>
      <c r="O599" s="59"/>
      <c r="P599" s="59"/>
      <c r="Q599" s="59">
        <f>SUM(Tablo2[[#This Row],[Ocak]:[Aralık]])</f>
        <v>0</v>
      </c>
      <c r="U599" s="478"/>
      <c r="V599" s="474"/>
      <c r="W599" s="475"/>
      <c r="X599" s="464"/>
    </row>
    <row r="600" spans="1:24" x14ac:dyDescent="0.25">
      <c r="A600" s="54">
        <v>22</v>
      </c>
      <c r="B600" s="56" t="s">
        <v>25</v>
      </c>
      <c r="C600" s="57" t="s">
        <v>55</v>
      </c>
      <c r="D600" s="57"/>
      <c r="E600" s="210"/>
      <c r="F600" s="108"/>
      <c r="G600" s="108"/>
      <c r="H600" s="59"/>
      <c r="I600" s="59"/>
      <c r="J600" s="59"/>
      <c r="K600" s="59"/>
      <c r="L600" s="59">
        <v>2310</v>
      </c>
      <c r="M600" s="59">
        <v>30</v>
      </c>
      <c r="N600" s="59"/>
      <c r="O600" s="59"/>
      <c r="P600" s="59"/>
      <c r="Q600" s="59">
        <f>SUM(Tablo2[[#This Row],[Ocak]:[Aralık]])</f>
        <v>2340</v>
      </c>
      <c r="T600" s="478"/>
      <c r="U600" s="474"/>
      <c r="V600" s="475"/>
      <c r="W600" s="464"/>
      <c r="X600" s="464"/>
    </row>
    <row r="601" spans="1:24" x14ac:dyDescent="0.25">
      <c r="A601" s="54">
        <v>23</v>
      </c>
      <c r="B601" s="56" t="s">
        <v>25</v>
      </c>
      <c r="C601" s="57" t="s">
        <v>56</v>
      </c>
      <c r="D601" s="57"/>
      <c r="E601" s="210"/>
      <c r="F601" s="108"/>
      <c r="G601" s="108"/>
      <c r="H601" s="59"/>
      <c r="I601" s="59"/>
      <c r="J601" s="59"/>
      <c r="K601" s="59"/>
      <c r="L601" s="59"/>
      <c r="M601" s="59"/>
      <c r="N601" s="59"/>
      <c r="O601" s="59"/>
      <c r="P601" s="59"/>
      <c r="Q601" s="59">
        <f>SUM(Tablo2[[#This Row],[Ocak]:[Aralık]])</f>
        <v>0</v>
      </c>
      <c r="T601" s="478"/>
      <c r="U601" s="474"/>
      <c r="V601" s="475"/>
      <c r="W601" s="464"/>
      <c r="X601" s="464"/>
    </row>
    <row r="602" spans="1:24" x14ac:dyDescent="0.25">
      <c r="A602" s="54">
        <v>24</v>
      </c>
      <c r="B602" s="56" t="s">
        <v>25</v>
      </c>
      <c r="C602" s="57" t="s">
        <v>57</v>
      </c>
      <c r="D602" s="57"/>
      <c r="E602" s="210"/>
      <c r="F602" s="108"/>
      <c r="G602" s="108"/>
      <c r="H602" s="59"/>
      <c r="I602" s="59"/>
      <c r="J602" s="59"/>
      <c r="K602" s="59"/>
      <c r="L602" s="59">
        <v>100</v>
      </c>
      <c r="M602" s="59">
        <v>95</v>
      </c>
      <c r="N602" s="59"/>
      <c r="O602" s="59"/>
      <c r="P602" s="59"/>
      <c r="Q602" s="59">
        <f>SUM(Tablo2[[#This Row],[Ocak]:[Aralık]])</f>
        <v>195</v>
      </c>
      <c r="T602" s="478"/>
      <c r="U602" s="474"/>
      <c r="V602" s="475"/>
      <c r="W602" s="464"/>
      <c r="X602" s="464"/>
    </row>
    <row r="603" spans="1:24" x14ac:dyDescent="0.25">
      <c r="A603" s="538">
        <v>1</v>
      </c>
      <c r="B603" s="56" t="s">
        <v>23</v>
      </c>
      <c r="C603" s="57" t="s">
        <v>6</v>
      </c>
      <c r="D603" s="57" t="s">
        <v>7</v>
      </c>
      <c r="E603" s="210"/>
      <c r="F603" s="108"/>
      <c r="G603" s="108"/>
      <c r="H603" s="59"/>
      <c r="I603" s="59"/>
      <c r="J603" s="59"/>
      <c r="K603" s="59"/>
      <c r="L603" s="59"/>
      <c r="M603" s="59"/>
      <c r="N603" s="59"/>
      <c r="O603" s="59"/>
      <c r="P603" s="59"/>
      <c r="Q603" s="59">
        <f>SUM(Tablo2[[#This Row],[Ocak]:[Aralık]])</f>
        <v>0</v>
      </c>
      <c r="T603" s="478"/>
      <c r="U603" s="474"/>
      <c r="V603" s="475"/>
      <c r="W603" s="464"/>
      <c r="X603" s="464"/>
    </row>
    <row r="604" spans="1:24" x14ac:dyDescent="0.25">
      <c r="A604" s="538"/>
      <c r="B604" s="56" t="s">
        <v>23</v>
      </c>
      <c r="C604" s="57" t="s">
        <v>6</v>
      </c>
      <c r="D604" s="57" t="s">
        <v>11</v>
      </c>
      <c r="E604" s="210"/>
      <c r="F604" s="108"/>
      <c r="G604" s="108"/>
      <c r="H604" s="59"/>
      <c r="I604" s="59"/>
      <c r="J604" s="59"/>
      <c r="K604" s="59"/>
      <c r="L604" s="59"/>
      <c r="M604" s="59"/>
      <c r="N604" s="59"/>
      <c r="O604" s="59"/>
      <c r="P604" s="59"/>
      <c r="Q604" s="59">
        <f>SUM(Tablo2[[#This Row],[Ocak]:[Aralık]])</f>
        <v>0</v>
      </c>
      <c r="T604" s="478"/>
      <c r="U604" s="474"/>
      <c r="V604" s="475"/>
      <c r="W604" s="464"/>
      <c r="X604" s="464"/>
    </row>
    <row r="605" spans="1:24" x14ac:dyDescent="0.25">
      <c r="A605" s="538"/>
      <c r="B605" s="56" t="s">
        <v>23</v>
      </c>
      <c r="C605" s="57" t="s">
        <v>6</v>
      </c>
      <c r="D605" s="57" t="s">
        <v>15</v>
      </c>
      <c r="E605" s="210"/>
      <c r="F605" s="108"/>
      <c r="G605" s="108"/>
      <c r="H605" s="59"/>
      <c r="I605" s="59"/>
      <c r="J605" s="59"/>
      <c r="K605" s="59"/>
      <c r="L605" s="59"/>
      <c r="M605" s="59"/>
      <c r="N605" s="59"/>
      <c r="O605" s="59"/>
      <c r="P605" s="59"/>
      <c r="Q605" s="59">
        <f>SUM(Tablo2[[#This Row],[Ocak]:[Aralık]])</f>
        <v>0</v>
      </c>
      <c r="T605" s="478"/>
      <c r="U605" s="474"/>
      <c r="V605" s="475"/>
      <c r="W605" s="464"/>
      <c r="X605" s="464"/>
    </row>
    <row r="606" spans="1:24" x14ac:dyDescent="0.3">
      <c r="A606" s="538"/>
      <c r="B606" s="56" t="s">
        <v>23</v>
      </c>
      <c r="C606" s="57" t="s">
        <v>6</v>
      </c>
      <c r="D606" s="57" t="s">
        <v>19</v>
      </c>
      <c r="E606" s="210"/>
      <c r="F606" s="108"/>
      <c r="G606" s="108"/>
      <c r="H606" s="59"/>
      <c r="I606" s="59"/>
      <c r="J606" s="59"/>
      <c r="K606" s="59"/>
      <c r="L606" s="59"/>
      <c r="M606" s="59"/>
      <c r="N606" s="59"/>
      <c r="O606" s="59"/>
      <c r="P606" s="59"/>
      <c r="Q606" s="59">
        <f>SUM(Tablo2[[#This Row],[Ocak]:[Aralık]])</f>
        <v>0</v>
      </c>
    </row>
    <row r="607" spans="1:24" x14ac:dyDescent="0.3">
      <c r="A607" s="538"/>
      <c r="B607" s="56" t="s">
        <v>23</v>
      </c>
      <c r="C607" s="57" t="s">
        <v>6</v>
      </c>
      <c r="D607" s="57" t="s">
        <v>22</v>
      </c>
      <c r="E607" s="210"/>
      <c r="F607" s="108"/>
      <c r="G607" s="108"/>
      <c r="H607" s="59"/>
      <c r="I607" s="59"/>
      <c r="J607" s="59"/>
      <c r="K607" s="59"/>
      <c r="L607" s="59"/>
      <c r="M607" s="59"/>
      <c r="N607" s="59"/>
      <c r="O607" s="59"/>
      <c r="P607" s="59"/>
      <c r="Q607" s="59">
        <f>SUM(Tablo2[[#This Row],[Ocak]:[Aralık]])</f>
        <v>0</v>
      </c>
    </row>
    <row r="608" spans="1:24" x14ac:dyDescent="0.3">
      <c r="A608" s="538"/>
      <c r="B608" s="56" t="s">
        <v>23</v>
      </c>
      <c r="C608" s="57" t="s">
        <v>6</v>
      </c>
      <c r="D608" s="57" t="s">
        <v>25</v>
      </c>
      <c r="E608" s="210"/>
      <c r="F608" s="108"/>
      <c r="G608" s="108"/>
      <c r="H608" s="59"/>
      <c r="I608" s="59"/>
      <c r="J608" s="59"/>
      <c r="K608" s="59"/>
      <c r="L608" s="59"/>
      <c r="M608" s="59"/>
      <c r="N608" s="59"/>
      <c r="O608" s="59"/>
      <c r="P608" s="59"/>
      <c r="Q608" s="59">
        <f>SUM(Tablo2[[#This Row],[Ocak]:[Aralık]])</f>
        <v>0</v>
      </c>
    </row>
    <row r="609" spans="1:17" x14ac:dyDescent="0.3">
      <c r="A609" s="538"/>
      <c r="B609" s="56" t="s">
        <v>23</v>
      </c>
      <c r="C609" s="57" t="s">
        <v>6</v>
      </c>
      <c r="D609" s="57" t="s">
        <v>28</v>
      </c>
      <c r="E609" s="210"/>
      <c r="F609" s="108"/>
      <c r="G609" s="108"/>
      <c r="H609" s="59"/>
      <c r="I609" s="59"/>
      <c r="J609" s="59"/>
      <c r="K609" s="59"/>
      <c r="L609" s="59"/>
      <c r="M609" s="59"/>
      <c r="N609" s="59"/>
      <c r="O609" s="59"/>
      <c r="P609" s="59"/>
      <c r="Q609" s="59">
        <f>SUM(Tablo2[[#This Row],[Ocak]:[Aralık]])</f>
        <v>0</v>
      </c>
    </row>
    <row r="610" spans="1:17" x14ac:dyDescent="0.3">
      <c r="A610" s="538"/>
      <c r="B610" s="56" t="s">
        <v>23</v>
      </c>
      <c r="C610" s="57" t="s">
        <v>6</v>
      </c>
      <c r="D610" s="57" t="s">
        <v>31</v>
      </c>
      <c r="E610" s="210"/>
      <c r="F610" s="108"/>
      <c r="G610" s="108"/>
      <c r="H610" s="59"/>
      <c r="I610" s="59"/>
      <c r="J610" s="59"/>
      <c r="K610" s="59"/>
      <c r="L610" s="59"/>
      <c r="M610" s="59"/>
      <c r="N610" s="59"/>
      <c r="O610" s="59"/>
      <c r="P610" s="59"/>
      <c r="Q610" s="59">
        <f>SUM(Tablo2[[#This Row],[Ocak]:[Aralık]])</f>
        <v>0</v>
      </c>
    </row>
    <row r="611" spans="1:17" x14ac:dyDescent="0.3">
      <c r="A611" s="538"/>
      <c r="B611" s="56" t="s">
        <v>23</v>
      </c>
      <c r="C611" s="57" t="s">
        <v>6</v>
      </c>
      <c r="D611" s="57" t="s">
        <v>34</v>
      </c>
      <c r="E611" s="210"/>
      <c r="F611" s="108"/>
      <c r="G611" s="108"/>
      <c r="H611" s="59"/>
      <c r="I611" s="59"/>
      <c r="J611" s="59"/>
      <c r="K611" s="59"/>
      <c r="L611" s="59"/>
      <c r="M611" s="59"/>
      <c r="N611" s="59"/>
      <c r="O611" s="59"/>
      <c r="P611" s="59"/>
      <c r="Q611" s="59">
        <f>SUM(Tablo2[[#This Row],[Ocak]:[Aralık]])</f>
        <v>0</v>
      </c>
    </row>
    <row r="612" spans="1:17" x14ac:dyDescent="0.3">
      <c r="A612" s="538"/>
      <c r="B612" s="56" t="s">
        <v>23</v>
      </c>
      <c r="C612" s="57" t="s">
        <v>6</v>
      </c>
      <c r="D612" s="57" t="s">
        <v>37</v>
      </c>
      <c r="E612" s="210"/>
      <c r="F612" s="108"/>
      <c r="G612" s="108"/>
      <c r="H612" s="59"/>
      <c r="I612" s="59"/>
      <c r="J612" s="59"/>
      <c r="K612" s="59"/>
      <c r="L612" s="59"/>
      <c r="M612" s="59"/>
      <c r="N612" s="59"/>
      <c r="O612" s="59"/>
      <c r="P612" s="59"/>
      <c r="Q612" s="59">
        <f>SUM(Tablo2[[#This Row],[Ocak]:[Aralık]])</f>
        <v>0</v>
      </c>
    </row>
    <row r="613" spans="1:17" x14ac:dyDescent="0.3">
      <c r="A613" s="538"/>
      <c r="B613" s="56" t="s">
        <v>23</v>
      </c>
      <c r="C613" s="57" t="s">
        <v>6</v>
      </c>
      <c r="D613" s="57" t="s">
        <v>39</v>
      </c>
      <c r="E613" s="210"/>
      <c r="F613" s="108"/>
      <c r="G613" s="108"/>
      <c r="H613" s="59"/>
      <c r="I613" s="59"/>
      <c r="J613" s="59"/>
      <c r="K613" s="59"/>
      <c r="L613" s="59"/>
      <c r="M613" s="59"/>
      <c r="N613" s="59"/>
      <c r="O613" s="59"/>
      <c r="P613" s="59"/>
      <c r="Q613" s="59">
        <f>SUM(Tablo2[[#This Row],[Ocak]:[Aralık]])</f>
        <v>0</v>
      </c>
    </row>
    <row r="614" spans="1:17" x14ac:dyDescent="0.3">
      <c r="A614" s="538"/>
      <c r="B614" s="56" t="s">
        <v>23</v>
      </c>
      <c r="C614" s="57" t="s">
        <v>6</v>
      </c>
      <c r="D614" s="57" t="s">
        <v>42</v>
      </c>
      <c r="E614" s="210"/>
      <c r="F614" s="108"/>
      <c r="G614" s="108"/>
      <c r="H614" s="59"/>
      <c r="I614" s="59"/>
      <c r="J614" s="59"/>
      <c r="K614" s="59"/>
      <c r="L614" s="59"/>
      <c r="M614" s="59"/>
      <c r="N614" s="59"/>
      <c r="O614" s="59"/>
      <c r="P614" s="59"/>
      <c r="Q614" s="59">
        <f>SUM(Tablo2[[#This Row],[Ocak]:[Aralık]])</f>
        <v>0</v>
      </c>
    </row>
    <row r="615" spans="1:17" x14ac:dyDescent="0.3">
      <c r="A615" s="538"/>
      <c r="B615" s="56" t="s">
        <v>23</v>
      </c>
      <c r="C615" s="57" t="s">
        <v>6</v>
      </c>
      <c r="D615" s="57" t="s">
        <v>45</v>
      </c>
      <c r="E615" s="210"/>
      <c r="F615" s="108"/>
      <c r="G615" s="108"/>
      <c r="H615" s="59"/>
      <c r="I615" s="59"/>
      <c r="J615" s="59"/>
      <c r="K615" s="59"/>
      <c r="L615" s="59"/>
      <c r="M615" s="59"/>
      <c r="N615" s="59"/>
      <c r="O615" s="59"/>
      <c r="P615" s="59"/>
      <c r="Q615" s="59">
        <f>SUM(Tablo2[[#This Row],[Ocak]:[Aralık]])</f>
        <v>0</v>
      </c>
    </row>
    <row r="616" spans="1:17" x14ac:dyDescent="0.3">
      <c r="A616" s="538"/>
      <c r="B616" s="56" t="s">
        <v>23</v>
      </c>
      <c r="C616" s="57" t="s">
        <v>6</v>
      </c>
      <c r="D616" s="57" t="s">
        <v>48</v>
      </c>
      <c r="E616" s="210"/>
      <c r="F616" s="108"/>
      <c r="G616" s="108"/>
      <c r="H616" s="59"/>
      <c r="I616" s="59"/>
      <c r="J616" s="59"/>
      <c r="K616" s="59"/>
      <c r="L616" s="59"/>
      <c r="M616" s="59"/>
      <c r="N616" s="59"/>
      <c r="O616" s="59"/>
      <c r="P616" s="59"/>
      <c r="Q616" s="59">
        <f>SUM(Tablo2[[#This Row],[Ocak]:[Aralık]])</f>
        <v>0</v>
      </c>
    </row>
    <row r="617" spans="1:17" x14ac:dyDescent="0.3">
      <c r="A617" s="538"/>
      <c r="B617" s="56" t="s">
        <v>23</v>
      </c>
      <c r="C617" s="57" t="s">
        <v>6</v>
      </c>
      <c r="D617" s="57" t="s">
        <v>50</v>
      </c>
      <c r="E617" s="210"/>
      <c r="F617" s="108"/>
      <c r="G617" s="108"/>
      <c r="H617" s="59"/>
      <c r="I617" s="59"/>
      <c r="J617" s="59"/>
      <c r="K617" s="59"/>
      <c r="L617" s="59"/>
      <c r="M617" s="59"/>
      <c r="N617" s="59"/>
      <c r="O617" s="59"/>
      <c r="P617" s="59"/>
      <c r="Q617" s="59">
        <f>SUM(Tablo2[[#This Row],[Ocak]:[Aralık]])</f>
        <v>0</v>
      </c>
    </row>
    <row r="618" spans="1:17" x14ac:dyDescent="0.3">
      <c r="A618" s="538">
        <v>2</v>
      </c>
      <c r="B618" s="56" t="s">
        <v>23</v>
      </c>
      <c r="C618" s="57" t="s">
        <v>10</v>
      </c>
      <c r="D618" s="57" t="s">
        <v>7</v>
      </c>
      <c r="E618" s="210"/>
      <c r="F618" s="108"/>
      <c r="G618" s="108"/>
      <c r="H618" s="59"/>
      <c r="I618" s="59"/>
      <c r="J618" s="59"/>
      <c r="K618" s="59"/>
      <c r="L618" s="59"/>
      <c r="M618" s="59"/>
      <c r="N618" s="59"/>
      <c r="O618" s="59"/>
      <c r="P618" s="59"/>
      <c r="Q618" s="59">
        <f>SUM(Tablo2[[#This Row],[Ocak]:[Aralık]])</f>
        <v>0</v>
      </c>
    </row>
    <row r="619" spans="1:17" x14ac:dyDescent="0.3">
      <c r="A619" s="538"/>
      <c r="B619" s="56" t="s">
        <v>23</v>
      </c>
      <c r="C619" s="57" t="s">
        <v>10</v>
      </c>
      <c r="D619" s="57" t="s">
        <v>11</v>
      </c>
      <c r="E619" s="210"/>
      <c r="F619" s="108"/>
      <c r="G619" s="108"/>
      <c r="H619" s="59"/>
      <c r="I619" s="59"/>
      <c r="J619" s="59"/>
      <c r="K619" s="59"/>
      <c r="L619" s="59"/>
      <c r="M619" s="59"/>
      <c r="N619" s="59"/>
      <c r="O619" s="59"/>
      <c r="P619" s="59"/>
      <c r="Q619" s="59">
        <f>SUM(Tablo2[[#This Row],[Ocak]:[Aralık]])</f>
        <v>0</v>
      </c>
    </row>
    <row r="620" spans="1:17" x14ac:dyDescent="0.3">
      <c r="A620" s="538"/>
      <c r="B620" s="56" t="s">
        <v>23</v>
      </c>
      <c r="C620" s="57" t="s">
        <v>10</v>
      </c>
      <c r="D620" s="57" t="s">
        <v>15</v>
      </c>
      <c r="E620" s="210"/>
      <c r="F620" s="108"/>
      <c r="G620" s="108"/>
      <c r="H620" s="59"/>
      <c r="I620" s="59"/>
      <c r="J620" s="59"/>
      <c r="K620" s="59"/>
      <c r="L620" s="59"/>
      <c r="M620" s="59"/>
      <c r="N620" s="59"/>
      <c r="O620" s="59"/>
      <c r="P620" s="59"/>
      <c r="Q620" s="59">
        <f>SUM(Tablo2[[#This Row],[Ocak]:[Aralık]])</f>
        <v>0</v>
      </c>
    </row>
    <row r="621" spans="1:17" x14ac:dyDescent="0.3">
      <c r="A621" s="538"/>
      <c r="B621" s="56" t="s">
        <v>23</v>
      </c>
      <c r="C621" s="57" t="s">
        <v>10</v>
      </c>
      <c r="D621" s="57" t="s">
        <v>19</v>
      </c>
      <c r="E621" s="210"/>
      <c r="F621" s="108"/>
      <c r="G621" s="108"/>
      <c r="H621" s="59"/>
      <c r="I621" s="59"/>
      <c r="J621" s="59"/>
      <c r="K621" s="59"/>
      <c r="L621" s="59"/>
      <c r="M621" s="59"/>
      <c r="N621" s="59"/>
      <c r="O621" s="59"/>
      <c r="P621" s="59"/>
      <c r="Q621" s="59">
        <f>SUM(Tablo2[[#This Row],[Ocak]:[Aralık]])</f>
        <v>0</v>
      </c>
    </row>
    <row r="622" spans="1:17" x14ac:dyDescent="0.3">
      <c r="A622" s="538"/>
      <c r="B622" s="56" t="s">
        <v>23</v>
      </c>
      <c r="C622" s="57" t="s">
        <v>10</v>
      </c>
      <c r="D622" s="57" t="s">
        <v>22</v>
      </c>
      <c r="E622" s="210"/>
      <c r="F622" s="108"/>
      <c r="G622" s="108"/>
      <c r="H622" s="59"/>
      <c r="I622" s="59"/>
      <c r="J622" s="59"/>
      <c r="K622" s="59"/>
      <c r="L622" s="59"/>
      <c r="M622" s="59"/>
      <c r="N622" s="59"/>
      <c r="O622" s="59"/>
      <c r="P622" s="59"/>
      <c r="Q622" s="59">
        <f>SUM(Tablo2[[#This Row],[Ocak]:[Aralık]])</f>
        <v>0</v>
      </c>
    </row>
    <row r="623" spans="1:17" x14ac:dyDescent="0.3">
      <c r="A623" s="538"/>
      <c r="B623" s="56" t="s">
        <v>23</v>
      </c>
      <c r="C623" s="57" t="s">
        <v>10</v>
      </c>
      <c r="D623" s="57" t="s">
        <v>25</v>
      </c>
      <c r="E623" s="210"/>
      <c r="F623" s="108"/>
      <c r="G623" s="108"/>
      <c r="H623" s="59"/>
      <c r="I623" s="59"/>
      <c r="J623" s="59"/>
      <c r="K623" s="59"/>
      <c r="L623" s="59"/>
      <c r="M623" s="59"/>
      <c r="N623" s="59"/>
      <c r="O623" s="59"/>
      <c r="P623" s="59"/>
      <c r="Q623" s="59">
        <f>SUM(Tablo2[[#This Row],[Ocak]:[Aralık]])</f>
        <v>0</v>
      </c>
    </row>
    <row r="624" spans="1:17" x14ac:dyDescent="0.3">
      <c r="A624" s="538"/>
      <c r="B624" s="56" t="s">
        <v>23</v>
      </c>
      <c r="C624" s="57" t="s">
        <v>10</v>
      </c>
      <c r="D624" s="57" t="s">
        <v>28</v>
      </c>
      <c r="E624" s="210"/>
      <c r="F624" s="108"/>
      <c r="G624" s="108"/>
      <c r="H624" s="59"/>
      <c r="I624" s="59"/>
      <c r="J624" s="59"/>
      <c r="K624" s="59"/>
      <c r="L624" s="59"/>
      <c r="M624" s="59"/>
      <c r="N624" s="59"/>
      <c r="O624" s="59"/>
      <c r="P624" s="59"/>
      <c r="Q624" s="59">
        <f>SUM(Tablo2[[#This Row],[Ocak]:[Aralık]])</f>
        <v>0</v>
      </c>
    </row>
    <row r="625" spans="1:17" x14ac:dyDescent="0.3">
      <c r="A625" s="538"/>
      <c r="B625" s="56" t="s">
        <v>23</v>
      </c>
      <c r="C625" s="57" t="s">
        <v>10</v>
      </c>
      <c r="D625" s="57" t="s">
        <v>31</v>
      </c>
      <c r="E625" s="210"/>
      <c r="F625" s="108"/>
      <c r="G625" s="108"/>
      <c r="H625" s="59"/>
      <c r="I625" s="59"/>
      <c r="J625" s="59"/>
      <c r="K625" s="59"/>
      <c r="L625" s="59"/>
      <c r="M625" s="59"/>
      <c r="N625" s="59"/>
      <c r="O625" s="59"/>
      <c r="P625" s="59"/>
      <c r="Q625" s="59">
        <f>SUM(Tablo2[[#This Row],[Ocak]:[Aralık]])</f>
        <v>0</v>
      </c>
    </row>
    <row r="626" spans="1:17" x14ac:dyDescent="0.3">
      <c r="A626" s="538"/>
      <c r="B626" s="56" t="s">
        <v>23</v>
      </c>
      <c r="C626" s="57" t="s">
        <v>10</v>
      </c>
      <c r="D626" s="57" t="s">
        <v>34</v>
      </c>
      <c r="E626" s="210"/>
      <c r="F626" s="108"/>
      <c r="G626" s="108"/>
      <c r="H626" s="59"/>
      <c r="I626" s="59"/>
      <c r="J626" s="59"/>
      <c r="K626" s="59"/>
      <c r="L626" s="59"/>
      <c r="M626" s="59"/>
      <c r="N626" s="59"/>
      <c r="O626" s="59"/>
      <c r="P626" s="59"/>
      <c r="Q626" s="59">
        <f>SUM(Tablo2[[#This Row],[Ocak]:[Aralık]])</f>
        <v>0</v>
      </c>
    </row>
    <row r="627" spans="1:17" x14ac:dyDescent="0.3">
      <c r="A627" s="538"/>
      <c r="B627" s="56" t="s">
        <v>23</v>
      </c>
      <c r="C627" s="57" t="s">
        <v>10</v>
      </c>
      <c r="D627" s="57" t="s">
        <v>37</v>
      </c>
      <c r="E627" s="210"/>
      <c r="F627" s="108"/>
      <c r="G627" s="108"/>
      <c r="H627" s="59"/>
      <c r="I627" s="59"/>
      <c r="J627" s="59"/>
      <c r="K627" s="59"/>
      <c r="L627" s="59"/>
      <c r="M627" s="59"/>
      <c r="N627" s="59"/>
      <c r="O627" s="59"/>
      <c r="P627" s="59"/>
      <c r="Q627" s="59">
        <f>SUM(Tablo2[[#This Row],[Ocak]:[Aralık]])</f>
        <v>0</v>
      </c>
    </row>
    <row r="628" spans="1:17" x14ac:dyDescent="0.3">
      <c r="A628" s="538"/>
      <c r="B628" s="56" t="s">
        <v>23</v>
      </c>
      <c r="C628" s="57" t="s">
        <v>10</v>
      </c>
      <c r="D628" s="57" t="s">
        <v>39</v>
      </c>
      <c r="E628" s="210"/>
      <c r="F628" s="108"/>
      <c r="G628" s="108"/>
      <c r="H628" s="59"/>
      <c r="I628" s="59"/>
      <c r="J628" s="59"/>
      <c r="K628" s="59"/>
      <c r="L628" s="59"/>
      <c r="M628" s="59"/>
      <c r="N628" s="59"/>
      <c r="O628" s="59"/>
      <c r="P628" s="59"/>
      <c r="Q628" s="59">
        <f>SUM(Tablo2[[#This Row],[Ocak]:[Aralık]])</f>
        <v>0</v>
      </c>
    </row>
    <row r="629" spans="1:17" x14ac:dyDescent="0.3">
      <c r="A629" s="538"/>
      <c r="B629" s="56" t="s">
        <v>23</v>
      </c>
      <c r="C629" s="57" t="s">
        <v>10</v>
      </c>
      <c r="D629" s="57" t="s">
        <v>42</v>
      </c>
      <c r="E629" s="210"/>
      <c r="F629" s="108"/>
      <c r="G629" s="108"/>
      <c r="H629" s="59"/>
      <c r="I629" s="59"/>
      <c r="J629" s="59"/>
      <c r="K629" s="59"/>
      <c r="L629" s="59"/>
      <c r="M629" s="59"/>
      <c r="N629" s="59"/>
      <c r="O629" s="59"/>
      <c r="P629" s="59"/>
      <c r="Q629" s="59">
        <f>SUM(Tablo2[[#This Row],[Ocak]:[Aralık]])</f>
        <v>0</v>
      </c>
    </row>
    <row r="630" spans="1:17" x14ac:dyDescent="0.3">
      <c r="A630" s="538"/>
      <c r="B630" s="56" t="s">
        <v>23</v>
      </c>
      <c r="C630" s="57" t="s">
        <v>10</v>
      </c>
      <c r="D630" s="57" t="s">
        <v>45</v>
      </c>
      <c r="E630" s="210"/>
      <c r="F630" s="108"/>
      <c r="G630" s="108"/>
      <c r="H630" s="59"/>
      <c r="I630" s="59"/>
      <c r="J630" s="59"/>
      <c r="K630" s="59"/>
      <c r="L630" s="59"/>
      <c r="M630" s="59"/>
      <c r="N630" s="59"/>
      <c r="O630" s="59"/>
      <c r="P630" s="59"/>
      <c r="Q630" s="59">
        <f>SUM(Tablo2[[#This Row],[Ocak]:[Aralık]])</f>
        <v>0</v>
      </c>
    </row>
    <row r="631" spans="1:17" x14ac:dyDescent="0.3">
      <c r="A631" s="538"/>
      <c r="B631" s="56" t="s">
        <v>23</v>
      </c>
      <c r="C631" s="57" t="s">
        <v>10</v>
      </c>
      <c r="D631" s="57" t="s">
        <v>48</v>
      </c>
      <c r="E631" s="210"/>
      <c r="F631" s="108"/>
      <c r="G631" s="108"/>
      <c r="H631" s="59"/>
      <c r="I631" s="59"/>
      <c r="J631" s="59"/>
      <c r="K631" s="59"/>
      <c r="L631" s="59"/>
      <c r="M631" s="59"/>
      <c r="N631" s="59"/>
      <c r="O631" s="59"/>
      <c r="P631" s="59"/>
      <c r="Q631" s="59">
        <f>SUM(Tablo2[[#This Row],[Ocak]:[Aralık]])</f>
        <v>0</v>
      </c>
    </row>
    <row r="632" spans="1:17" x14ac:dyDescent="0.3">
      <c r="A632" s="538"/>
      <c r="B632" s="56" t="s">
        <v>23</v>
      </c>
      <c r="C632" s="57" t="s">
        <v>10</v>
      </c>
      <c r="D632" s="57" t="s">
        <v>50</v>
      </c>
      <c r="E632" s="210"/>
      <c r="F632" s="108"/>
      <c r="G632" s="108"/>
      <c r="H632" s="59"/>
      <c r="I632" s="59"/>
      <c r="J632" s="59"/>
      <c r="K632" s="59"/>
      <c r="L632" s="59"/>
      <c r="M632" s="59"/>
      <c r="N632" s="59"/>
      <c r="O632" s="59"/>
      <c r="P632" s="59"/>
      <c r="Q632" s="59">
        <f>SUM(Tablo2[[#This Row],[Ocak]:[Aralık]])</f>
        <v>0</v>
      </c>
    </row>
    <row r="633" spans="1:17" x14ac:dyDescent="0.3">
      <c r="A633" s="54">
        <v>5</v>
      </c>
      <c r="B633" s="56" t="s">
        <v>23</v>
      </c>
      <c r="C633" s="57" t="s">
        <v>14</v>
      </c>
      <c r="D633" s="57"/>
      <c r="E633" s="210"/>
      <c r="F633" s="108"/>
      <c r="G633" s="108"/>
      <c r="H633" s="59"/>
      <c r="I633" s="59"/>
      <c r="J633" s="59"/>
      <c r="K633" s="59"/>
      <c r="L633" s="59"/>
      <c r="M633" s="59"/>
      <c r="N633" s="59"/>
      <c r="O633" s="59"/>
      <c r="P633" s="59"/>
      <c r="Q633" s="59">
        <f>SUM(Tablo2[[#This Row],[Ocak]:[Aralık]])</f>
        <v>0</v>
      </c>
    </row>
    <row r="634" spans="1:17" x14ac:dyDescent="0.3">
      <c r="A634" s="54">
        <v>6</v>
      </c>
      <c r="B634" s="56" t="s">
        <v>23</v>
      </c>
      <c r="C634" s="57" t="s">
        <v>18</v>
      </c>
      <c r="D634" s="57"/>
      <c r="E634" s="210"/>
      <c r="F634" s="108"/>
      <c r="G634" s="108"/>
      <c r="H634" s="59"/>
      <c r="I634" s="59"/>
      <c r="J634" s="59"/>
      <c r="K634" s="59"/>
      <c r="L634" s="59"/>
      <c r="M634" s="59"/>
      <c r="N634" s="59"/>
      <c r="O634" s="59"/>
      <c r="P634" s="59"/>
      <c r="Q634" s="59">
        <f>SUM(Tablo2[[#This Row],[Ocak]:[Aralık]])</f>
        <v>0</v>
      </c>
    </row>
    <row r="635" spans="1:17" x14ac:dyDescent="0.3">
      <c r="A635" s="54">
        <v>7</v>
      </c>
      <c r="B635" s="56" t="s">
        <v>23</v>
      </c>
      <c r="C635" s="57" t="s">
        <v>21</v>
      </c>
      <c r="D635" s="57"/>
      <c r="E635" s="210"/>
      <c r="F635" s="108"/>
      <c r="G635" s="108"/>
      <c r="H635" s="59"/>
      <c r="I635" s="59"/>
      <c r="J635" s="59"/>
      <c r="K635" s="59"/>
      <c r="L635" s="59"/>
      <c r="M635" s="59"/>
      <c r="N635" s="59"/>
      <c r="O635" s="59"/>
      <c r="P635" s="59"/>
      <c r="Q635" s="59">
        <f>SUM(Tablo2[[#This Row],[Ocak]:[Aralık]])</f>
        <v>0</v>
      </c>
    </row>
    <row r="636" spans="1:17" x14ac:dyDescent="0.3">
      <c r="A636" s="54">
        <v>8</v>
      </c>
      <c r="B636" s="56" t="s">
        <v>23</v>
      </c>
      <c r="C636" s="57" t="s">
        <v>24</v>
      </c>
      <c r="D636" s="57"/>
      <c r="E636" s="210"/>
      <c r="F636" s="108"/>
      <c r="G636" s="108"/>
      <c r="H636" s="59"/>
      <c r="I636" s="59"/>
      <c r="J636" s="59"/>
      <c r="K636" s="59"/>
      <c r="L636" s="59"/>
      <c r="M636" s="59"/>
      <c r="N636" s="59"/>
      <c r="O636" s="59"/>
      <c r="P636" s="59"/>
      <c r="Q636" s="59">
        <f>SUM(Tablo2[[#This Row],[Ocak]:[Aralık]])</f>
        <v>0</v>
      </c>
    </row>
    <row r="637" spans="1:17" x14ac:dyDescent="0.3">
      <c r="A637" s="54">
        <v>9</v>
      </c>
      <c r="B637" s="56" t="s">
        <v>23</v>
      </c>
      <c r="C637" s="57" t="s">
        <v>27</v>
      </c>
      <c r="D637" s="57"/>
      <c r="E637" s="210"/>
      <c r="F637" s="108"/>
      <c r="G637" s="108"/>
      <c r="H637" s="59"/>
      <c r="I637" s="59"/>
      <c r="J637" s="59"/>
      <c r="K637" s="59"/>
      <c r="L637" s="59"/>
      <c r="M637" s="59"/>
      <c r="N637" s="59"/>
      <c r="O637" s="59"/>
      <c r="P637" s="59"/>
      <c r="Q637" s="59">
        <f>SUM(Tablo2[[#This Row],[Ocak]:[Aralık]])</f>
        <v>0</v>
      </c>
    </row>
    <row r="638" spans="1:17" x14ac:dyDescent="0.3">
      <c r="A638" s="54">
        <v>10</v>
      </c>
      <c r="B638" s="56" t="s">
        <v>23</v>
      </c>
      <c r="C638" s="57" t="s">
        <v>30</v>
      </c>
      <c r="D638" s="57"/>
      <c r="E638" s="210"/>
      <c r="F638" s="108"/>
      <c r="G638" s="108"/>
      <c r="H638" s="59"/>
      <c r="I638" s="59"/>
      <c r="J638" s="59"/>
      <c r="K638" s="59"/>
      <c r="L638" s="59"/>
      <c r="M638" s="59"/>
      <c r="N638" s="59"/>
      <c r="O638" s="59"/>
      <c r="P638" s="59"/>
      <c r="Q638" s="59">
        <f>SUM(Tablo2[[#This Row],[Ocak]:[Aralık]])</f>
        <v>0</v>
      </c>
    </row>
    <row r="639" spans="1:17" x14ac:dyDescent="0.3">
      <c r="A639" s="54">
        <v>11</v>
      </c>
      <c r="B639" s="56" t="s">
        <v>23</v>
      </c>
      <c r="C639" s="57" t="s">
        <v>33</v>
      </c>
      <c r="D639" s="57"/>
      <c r="E639" s="210"/>
      <c r="F639" s="108"/>
      <c r="G639" s="108"/>
      <c r="H639" s="59"/>
      <c r="I639" s="59"/>
      <c r="J639" s="59"/>
      <c r="K639" s="59"/>
      <c r="L639" s="59"/>
      <c r="M639" s="59"/>
      <c r="N639" s="59"/>
      <c r="O639" s="59"/>
      <c r="P639" s="59"/>
      <c r="Q639" s="59">
        <f>SUM(Tablo2[[#This Row],[Ocak]:[Aralık]])</f>
        <v>0</v>
      </c>
    </row>
    <row r="640" spans="1:17" x14ac:dyDescent="0.3">
      <c r="A640" s="54">
        <v>12</v>
      </c>
      <c r="B640" s="56" t="s">
        <v>23</v>
      </c>
      <c r="C640" s="57" t="s">
        <v>36</v>
      </c>
      <c r="D640" s="57"/>
      <c r="E640" s="210"/>
      <c r="F640" s="108"/>
      <c r="G640" s="108"/>
      <c r="H640" s="59"/>
      <c r="I640" s="59"/>
      <c r="J640" s="59"/>
      <c r="K640" s="59"/>
      <c r="L640" s="59"/>
      <c r="M640" s="59"/>
      <c r="N640" s="59"/>
      <c r="O640" s="59"/>
      <c r="P640" s="59"/>
      <c r="Q640" s="59">
        <f>SUM(Tablo2[[#This Row],[Ocak]:[Aralık]])</f>
        <v>0</v>
      </c>
    </row>
    <row r="641" spans="1:17" x14ac:dyDescent="0.3">
      <c r="A641" s="54">
        <v>13</v>
      </c>
      <c r="B641" s="56" t="s">
        <v>23</v>
      </c>
      <c r="C641" s="57" t="s">
        <v>38</v>
      </c>
      <c r="D641" s="57"/>
      <c r="E641" s="210"/>
      <c r="F641" s="108"/>
      <c r="G641" s="108"/>
      <c r="H641" s="59"/>
      <c r="I641" s="59"/>
      <c r="J641" s="59"/>
      <c r="K641" s="59"/>
      <c r="L641" s="59"/>
      <c r="M641" s="59"/>
      <c r="N641" s="59"/>
      <c r="O641" s="59"/>
      <c r="P641" s="59"/>
      <c r="Q641" s="59">
        <f>SUM(Tablo2[[#This Row],[Ocak]:[Aralık]])</f>
        <v>0</v>
      </c>
    </row>
    <row r="642" spans="1:17" x14ac:dyDescent="0.3">
      <c r="A642" s="54">
        <v>14</v>
      </c>
      <c r="B642" s="56" t="s">
        <v>23</v>
      </c>
      <c r="C642" s="57" t="s">
        <v>41</v>
      </c>
      <c r="D642" s="57"/>
      <c r="E642" s="210"/>
      <c r="F642" s="108"/>
      <c r="G642" s="108"/>
      <c r="H642" s="59"/>
      <c r="I642" s="59"/>
      <c r="J642" s="59"/>
      <c r="K642" s="59"/>
      <c r="L642" s="59"/>
      <c r="M642" s="59"/>
      <c r="N642" s="59"/>
      <c r="O642" s="59"/>
      <c r="P642" s="59"/>
      <c r="Q642" s="59">
        <f>SUM(Tablo2[[#This Row],[Ocak]:[Aralık]])</f>
        <v>0</v>
      </c>
    </row>
    <row r="643" spans="1:17" x14ac:dyDescent="0.3">
      <c r="A643" s="54">
        <v>15</v>
      </c>
      <c r="B643" s="56" t="s">
        <v>23</v>
      </c>
      <c r="C643" s="57" t="s">
        <v>44</v>
      </c>
      <c r="D643" s="57"/>
      <c r="E643" s="210"/>
      <c r="F643" s="108"/>
      <c r="G643" s="108"/>
      <c r="H643" s="59"/>
      <c r="I643" s="59"/>
      <c r="J643" s="59"/>
      <c r="K643" s="59"/>
      <c r="L643" s="59"/>
      <c r="M643" s="59"/>
      <c r="N643" s="59"/>
      <c r="O643" s="59"/>
      <c r="P643" s="59"/>
      <c r="Q643" s="59">
        <f>SUM(Tablo2[[#This Row],[Ocak]:[Aralık]])</f>
        <v>0</v>
      </c>
    </row>
    <row r="644" spans="1:17" x14ac:dyDescent="0.3">
      <c r="A644" s="54">
        <v>16</v>
      </c>
      <c r="B644" s="56" t="s">
        <v>23</v>
      </c>
      <c r="C644" s="57" t="s">
        <v>47</v>
      </c>
      <c r="D644" s="57"/>
      <c r="E644" s="210"/>
      <c r="F644" s="108"/>
      <c r="G644" s="108"/>
      <c r="H644" s="59"/>
      <c r="I644" s="59"/>
      <c r="J644" s="59"/>
      <c r="K644" s="59"/>
      <c r="L644" s="59"/>
      <c r="M644" s="59"/>
      <c r="N644" s="59"/>
      <c r="O644" s="59"/>
      <c r="P644" s="59"/>
      <c r="Q644" s="59">
        <f>SUM(Tablo2[[#This Row],[Ocak]:[Aralık]])</f>
        <v>0</v>
      </c>
    </row>
    <row r="645" spans="1:17" x14ac:dyDescent="0.3">
      <c r="A645" s="54">
        <v>17</v>
      </c>
      <c r="B645" s="56" t="s">
        <v>23</v>
      </c>
      <c r="C645" s="57" t="s">
        <v>49</v>
      </c>
      <c r="D645" s="57"/>
      <c r="E645" s="210"/>
      <c r="F645" s="108"/>
      <c r="G645" s="108"/>
      <c r="H645" s="59"/>
      <c r="I645" s="59"/>
      <c r="J645" s="59"/>
      <c r="K645" s="59"/>
      <c r="L645" s="59"/>
      <c r="M645" s="59"/>
      <c r="N645" s="59"/>
      <c r="O645" s="59"/>
      <c r="P645" s="59"/>
      <c r="Q645" s="59">
        <f>SUM(Tablo2[[#This Row],[Ocak]:[Aralık]])</f>
        <v>0</v>
      </c>
    </row>
    <row r="646" spans="1:17" x14ac:dyDescent="0.3">
      <c r="A646" s="54">
        <v>18</v>
      </c>
      <c r="B646" s="56" t="s">
        <v>23</v>
      </c>
      <c r="C646" s="57" t="s">
        <v>51</v>
      </c>
      <c r="D646" s="57"/>
      <c r="E646" s="210"/>
      <c r="F646" s="108"/>
      <c r="G646" s="108"/>
      <c r="H646" s="59"/>
      <c r="I646" s="59"/>
      <c r="J646" s="59"/>
      <c r="K646" s="59"/>
      <c r="L646" s="59"/>
      <c r="M646" s="59"/>
      <c r="N646" s="59"/>
      <c r="O646" s="59"/>
      <c r="P646" s="59"/>
      <c r="Q646" s="59">
        <f>SUM(Tablo2[[#This Row],[Ocak]:[Aralık]])</f>
        <v>0</v>
      </c>
    </row>
    <row r="647" spans="1:17" x14ac:dyDescent="0.3">
      <c r="A647" s="54">
        <v>19</v>
      </c>
      <c r="B647" s="56" t="s">
        <v>23</v>
      </c>
      <c r="C647" s="57" t="s">
        <v>52</v>
      </c>
      <c r="D647" s="57"/>
      <c r="E647" s="210"/>
      <c r="F647" s="108"/>
      <c r="G647" s="108"/>
      <c r="H647" s="59"/>
      <c r="I647" s="59"/>
      <c r="J647" s="59"/>
      <c r="K647" s="59"/>
      <c r="L647" s="59"/>
      <c r="M647" s="59"/>
      <c r="N647" s="59"/>
      <c r="O647" s="59"/>
      <c r="P647" s="59"/>
      <c r="Q647" s="59">
        <f>SUM(Tablo2[[#This Row],[Ocak]:[Aralık]])</f>
        <v>0</v>
      </c>
    </row>
    <row r="648" spans="1:17" x14ac:dyDescent="0.3">
      <c r="A648" s="54">
        <v>20</v>
      </c>
      <c r="B648" s="56" t="s">
        <v>23</v>
      </c>
      <c r="C648" s="57" t="s">
        <v>53</v>
      </c>
      <c r="D648" s="57"/>
      <c r="E648" s="210"/>
      <c r="F648" s="108"/>
      <c r="G648" s="108"/>
      <c r="H648" s="59"/>
      <c r="I648" s="59"/>
      <c r="J648" s="59"/>
      <c r="K648" s="59"/>
      <c r="L648" s="59"/>
      <c r="M648" s="59"/>
      <c r="N648" s="59"/>
      <c r="O648" s="59"/>
      <c r="P648" s="59"/>
      <c r="Q648" s="59">
        <f>SUM(Tablo2[[#This Row],[Ocak]:[Aralık]])</f>
        <v>0</v>
      </c>
    </row>
    <row r="649" spans="1:17" x14ac:dyDescent="0.3">
      <c r="A649" s="54">
        <v>21</v>
      </c>
      <c r="B649" s="56" t="s">
        <v>23</v>
      </c>
      <c r="C649" s="57" t="s">
        <v>54</v>
      </c>
      <c r="D649" s="57"/>
      <c r="E649" s="210"/>
      <c r="F649" s="108"/>
      <c r="G649" s="108"/>
      <c r="H649" s="59"/>
      <c r="I649" s="59"/>
      <c r="J649" s="59"/>
      <c r="K649" s="59"/>
      <c r="L649" s="59"/>
      <c r="M649" s="59"/>
      <c r="N649" s="59"/>
      <c r="O649" s="59"/>
      <c r="P649" s="59"/>
      <c r="Q649" s="59">
        <f>SUM(Tablo2[[#This Row],[Ocak]:[Aralık]])</f>
        <v>0</v>
      </c>
    </row>
    <row r="650" spans="1:17" x14ac:dyDescent="0.3">
      <c r="A650" s="54">
        <v>22</v>
      </c>
      <c r="B650" s="56" t="s">
        <v>23</v>
      </c>
      <c r="C650" s="57" t="s">
        <v>55</v>
      </c>
      <c r="D650" s="57"/>
      <c r="E650" s="210"/>
      <c r="F650" s="108"/>
      <c r="G650" s="108"/>
      <c r="H650" s="59"/>
      <c r="I650" s="59"/>
      <c r="J650" s="59"/>
      <c r="K650" s="59"/>
      <c r="L650" s="59"/>
      <c r="M650" s="59"/>
      <c r="N650" s="59"/>
      <c r="O650" s="59"/>
      <c r="P650" s="59"/>
      <c r="Q650" s="59">
        <f>SUM(Tablo2[[#This Row],[Ocak]:[Aralık]])</f>
        <v>0</v>
      </c>
    </row>
    <row r="651" spans="1:17" x14ac:dyDescent="0.3">
      <c r="A651" s="54">
        <v>23</v>
      </c>
      <c r="B651" s="56" t="s">
        <v>23</v>
      </c>
      <c r="C651" s="57" t="s">
        <v>56</v>
      </c>
      <c r="D651" s="57"/>
      <c r="E651" s="210"/>
      <c r="F651" s="108"/>
      <c r="G651" s="108"/>
      <c r="H651" s="59"/>
      <c r="I651" s="59"/>
      <c r="J651" s="59"/>
      <c r="K651" s="59"/>
      <c r="L651" s="59"/>
      <c r="M651" s="59"/>
      <c r="N651" s="59"/>
      <c r="O651" s="59"/>
      <c r="P651" s="59"/>
      <c r="Q651" s="59">
        <f>SUM(Tablo2[[#This Row],[Ocak]:[Aralık]])</f>
        <v>0</v>
      </c>
    </row>
    <row r="652" spans="1:17" x14ac:dyDescent="0.3">
      <c r="A652" s="54">
        <v>24</v>
      </c>
      <c r="B652" s="56" t="s">
        <v>23</v>
      </c>
      <c r="C652" s="57" t="s">
        <v>57</v>
      </c>
      <c r="D652" s="57"/>
      <c r="E652" s="210"/>
      <c r="F652" s="108"/>
      <c r="G652" s="108"/>
      <c r="H652" s="59"/>
      <c r="I652" s="59"/>
      <c r="J652" s="59"/>
      <c r="K652" s="59"/>
      <c r="L652" s="59"/>
      <c r="M652" s="59"/>
      <c r="N652" s="59"/>
      <c r="O652" s="59"/>
      <c r="P652" s="59"/>
      <c r="Q652" s="59">
        <f>SUM(Tablo2[[#This Row],[Ocak]:[Aralık]])</f>
        <v>0</v>
      </c>
    </row>
    <row r="653" spans="1:17" x14ac:dyDescent="0.3">
      <c r="A653" s="538">
        <v>1</v>
      </c>
      <c r="B653" s="56" t="s">
        <v>20</v>
      </c>
      <c r="C653" s="57" t="s">
        <v>6</v>
      </c>
      <c r="D653" s="57" t="s">
        <v>7</v>
      </c>
      <c r="E653" s="210"/>
      <c r="F653" s="108"/>
      <c r="G653" s="108"/>
      <c r="H653" s="59"/>
      <c r="I653" s="59"/>
      <c r="J653" s="59"/>
      <c r="K653" s="59"/>
      <c r="L653" s="59"/>
      <c r="M653" s="59"/>
      <c r="N653" s="59"/>
      <c r="O653" s="59"/>
      <c r="P653" s="59"/>
      <c r="Q653" s="59">
        <f>SUM(Tablo2[[#This Row],[Ocak]:[Aralık]])</f>
        <v>0</v>
      </c>
    </row>
    <row r="654" spans="1:17" x14ac:dyDescent="0.3">
      <c r="A654" s="538"/>
      <c r="B654" s="56" t="s">
        <v>20</v>
      </c>
      <c r="C654" s="57" t="s">
        <v>6</v>
      </c>
      <c r="D654" s="57" t="s">
        <v>11</v>
      </c>
      <c r="E654" s="210"/>
      <c r="F654" s="108"/>
      <c r="G654" s="108"/>
      <c r="H654" s="59"/>
      <c r="I654" s="59"/>
      <c r="J654" s="59"/>
      <c r="K654" s="59"/>
      <c r="L654" s="59"/>
      <c r="M654" s="59"/>
      <c r="N654" s="59"/>
      <c r="O654" s="59"/>
      <c r="P654" s="59"/>
      <c r="Q654" s="59">
        <f>SUM(Tablo2[[#This Row],[Ocak]:[Aralık]])</f>
        <v>0</v>
      </c>
    </row>
    <row r="655" spans="1:17" x14ac:dyDescent="0.3">
      <c r="A655" s="538"/>
      <c r="B655" s="56" t="s">
        <v>20</v>
      </c>
      <c r="C655" s="57" t="s">
        <v>6</v>
      </c>
      <c r="D655" s="57" t="s">
        <v>15</v>
      </c>
      <c r="E655" s="210"/>
      <c r="F655" s="108"/>
      <c r="G655" s="108"/>
      <c r="H655" s="59"/>
      <c r="I655" s="59"/>
      <c r="J655" s="59"/>
      <c r="K655" s="59"/>
      <c r="L655" s="59"/>
      <c r="M655" s="59"/>
      <c r="N655" s="59"/>
      <c r="O655" s="59"/>
      <c r="P655" s="59"/>
      <c r="Q655" s="59">
        <f>SUM(Tablo2[[#This Row],[Ocak]:[Aralık]])</f>
        <v>0</v>
      </c>
    </row>
    <row r="656" spans="1:17" x14ac:dyDescent="0.3">
      <c r="A656" s="538"/>
      <c r="B656" s="56" t="s">
        <v>20</v>
      </c>
      <c r="C656" s="57" t="s">
        <v>6</v>
      </c>
      <c r="D656" s="57" t="s">
        <v>19</v>
      </c>
      <c r="E656" s="210"/>
      <c r="F656" s="108"/>
      <c r="G656" s="108"/>
      <c r="H656" s="59"/>
      <c r="I656" s="59"/>
      <c r="J656" s="59"/>
      <c r="K656" s="59"/>
      <c r="L656" s="59"/>
      <c r="M656" s="59"/>
      <c r="N656" s="59"/>
      <c r="O656" s="59"/>
      <c r="P656" s="59"/>
      <c r="Q656" s="59">
        <f>SUM(Tablo2[[#This Row],[Ocak]:[Aralık]])</f>
        <v>0</v>
      </c>
    </row>
    <row r="657" spans="1:17" x14ac:dyDescent="0.3">
      <c r="A657" s="538"/>
      <c r="B657" s="56" t="s">
        <v>20</v>
      </c>
      <c r="C657" s="57" t="s">
        <v>6</v>
      </c>
      <c r="D657" s="57" t="s">
        <v>22</v>
      </c>
      <c r="E657" s="210"/>
      <c r="F657" s="108"/>
      <c r="G657" s="108"/>
      <c r="H657" s="59"/>
      <c r="I657" s="59"/>
      <c r="J657" s="59"/>
      <c r="K657" s="59"/>
      <c r="L657" s="59"/>
      <c r="M657" s="59"/>
      <c r="N657" s="59"/>
      <c r="O657" s="59"/>
      <c r="P657" s="59"/>
      <c r="Q657" s="59">
        <f>SUM(Tablo2[[#This Row],[Ocak]:[Aralık]])</f>
        <v>0</v>
      </c>
    </row>
    <row r="658" spans="1:17" x14ac:dyDescent="0.3">
      <c r="A658" s="538"/>
      <c r="B658" s="56" t="s">
        <v>20</v>
      </c>
      <c r="C658" s="57" t="s">
        <v>6</v>
      </c>
      <c r="D658" s="57" t="s">
        <v>25</v>
      </c>
      <c r="E658" s="210"/>
      <c r="F658" s="108"/>
      <c r="G658" s="108"/>
      <c r="H658" s="59"/>
      <c r="I658" s="59"/>
      <c r="J658" s="59"/>
      <c r="K658" s="59"/>
      <c r="L658" s="59"/>
      <c r="M658" s="59"/>
      <c r="N658" s="59"/>
      <c r="O658" s="59"/>
      <c r="P658" s="59"/>
      <c r="Q658" s="59">
        <f>SUM(Tablo2[[#This Row],[Ocak]:[Aralık]])</f>
        <v>0</v>
      </c>
    </row>
    <row r="659" spans="1:17" x14ac:dyDescent="0.3">
      <c r="A659" s="538"/>
      <c r="B659" s="56" t="s">
        <v>20</v>
      </c>
      <c r="C659" s="57" t="s">
        <v>6</v>
      </c>
      <c r="D659" s="57" t="s">
        <v>28</v>
      </c>
      <c r="E659" s="210"/>
      <c r="F659" s="108"/>
      <c r="G659" s="108"/>
      <c r="H659" s="59"/>
      <c r="I659" s="59"/>
      <c r="J659" s="59"/>
      <c r="K659" s="59"/>
      <c r="L659" s="59"/>
      <c r="M659" s="59"/>
      <c r="N659" s="59"/>
      <c r="O659" s="59"/>
      <c r="P659" s="59"/>
      <c r="Q659" s="59">
        <f>SUM(Tablo2[[#This Row],[Ocak]:[Aralık]])</f>
        <v>0</v>
      </c>
    </row>
    <row r="660" spans="1:17" x14ac:dyDescent="0.3">
      <c r="A660" s="538"/>
      <c r="B660" s="56" t="s">
        <v>20</v>
      </c>
      <c r="C660" s="57" t="s">
        <v>6</v>
      </c>
      <c r="D660" s="57" t="s">
        <v>31</v>
      </c>
      <c r="E660" s="210"/>
      <c r="F660" s="108"/>
      <c r="G660" s="108"/>
      <c r="H660" s="59"/>
      <c r="I660" s="59"/>
      <c r="J660" s="59"/>
      <c r="K660" s="59"/>
      <c r="L660" s="59"/>
      <c r="M660" s="59"/>
      <c r="N660" s="59"/>
      <c r="O660" s="59"/>
      <c r="P660" s="59"/>
      <c r="Q660" s="59">
        <f>SUM(Tablo2[[#This Row],[Ocak]:[Aralık]])</f>
        <v>0</v>
      </c>
    </row>
    <row r="661" spans="1:17" x14ac:dyDescent="0.3">
      <c r="A661" s="538"/>
      <c r="B661" s="56" t="s">
        <v>20</v>
      </c>
      <c r="C661" s="57" t="s">
        <v>6</v>
      </c>
      <c r="D661" s="57" t="s">
        <v>34</v>
      </c>
      <c r="E661" s="210"/>
      <c r="F661" s="108"/>
      <c r="G661" s="108"/>
      <c r="H661" s="59"/>
      <c r="I661" s="59"/>
      <c r="J661" s="59"/>
      <c r="K661" s="59"/>
      <c r="L661" s="59"/>
      <c r="M661" s="59"/>
      <c r="N661" s="59"/>
      <c r="O661" s="59"/>
      <c r="P661" s="59"/>
      <c r="Q661" s="59">
        <f>SUM(Tablo2[[#This Row],[Ocak]:[Aralık]])</f>
        <v>0</v>
      </c>
    </row>
    <row r="662" spans="1:17" x14ac:dyDescent="0.3">
      <c r="A662" s="538"/>
      <c r="B662" s="56" t="s">
        <v>20</v>
      </c>
      <c r="C662" s="57" t="s">
        <v>6</v>
      </c>
      <c r="D662" s="57" t="s">
        <v>37</v>
      </c>
      <c r="E662" s="210"/>
      <c r="F662" s="108"/>
      <c r="G662" s="108"/>
      <c r="H662" s="59"/>
      <c r="I662" s="59"/>
      <c r="J662" s="59"/>
      <c r="K662" s="59"/>
      <c r="L662" s="59"/>
      <c r="M662" s="59"/>
      <c r="N662" s="59"/>
      <c r="O662" s="59"/>
      <c r="P662" s="59"/>
      <c r="Q662" s="59">
        <f>SUM(Tablo2[[#This Row],[Ocak]:[Aralık]])</f>
        <v>0</v>
      </c>
    </row>
    <row r="663" spans="1:17" x14ac:dyDescent="0.3">
      <c r="A663" s="538"/>
      <c r="B663" s="56" t="s">
        <v>20</v>
      </c>
      <c r="C663" s="57" t="s">
        <v>6</v>
      </c>
      <c r="D663" s="57" t="s">
        <v>39</v>
      </c>
      <c r="E663" s="210"/>
      <c r="F663" s="108"/>
      <c r="G663" s="108"/>
      <c r="H663" s="59"/>
      <c r="I663" s="59"/>
      <c r="J663" s="59"/>
      <c r="K663" s="59"/>
      <c r="L663" s="59"/>
      <c r="M663" s="59"/>
      <c r="N663" s="59"/>
      <c r="O663" s="59"/>
      <c r="P663" s="59"/>
      <c r="Q663" s="59">
        <f>SUM(Tablo2[[#This Row],[Ocak]:[Aralık]])</f>
        <v>0</v>
      </c>
    </row>
    <row r="664" spans="1:17" x14ac:dyDescent="0.3">
      <c r="A664" s="538"/>
      <c r="B664" s="56" t="s">
        <v>20</v>
      </c>
      <c r="C664" s="57" t="s">
        <v>6</v>
      </c>
      <c r="D664" s="57" t="s">
        <v>42</v>
      </c>
      <c r="E664" s="210"/>
      <c r="F664" s="108"/>
      <c r="G664" s="108"/>
      <c r="H664" s="59"/>
      <c r="I664" s="59"/>
      <c r="J664" s="59"/>
      <c r="K664" s="59"/>
      <c r="L664" s="59"/>
      <c r="M664" s="59"/>
      <c r="N664" s="59"/>
      <c r="O664" s="59"/>
      <c r="P664" s="59"/>
      <c r="Q664" s="59">
        <f>SUM(Tablo2[[#This Row],[Ocak]:[Aralık]])</f>
        <v>0</v>
      </c>
    </row>
    <row r="665" spans="1:17" x14ac:dyDescent="0.3">
      <c r="A665" s="538"/>
      <c r="B665" s="56" t="s">
        <v>20</v>
      </c>
      <c r="C665" s="57" t="s">
        <v>6</v>
      </c>
      <c r="D665" s="57" t="s">
        <v>45</v>
      </c>
      <c r="E665" s="210"/>
      <c r="F665" s="108"/>
      <c r="G665" s="108"/>
      <c r="H665" s="59"/>
      <c r="I665" s="59"/>
      <c r="J665" s="59"/>
      <c r="K665" s="59"/>
      <c r="L665" s="59"/>
      <c r="M665" s="59"/>
      <c r="N665" s="59"/>
      <c r="O665" s="59"/>
      <c r="P665" s="59"/>
      <c r="Q665" s="59">
        <f>SUM(Tablo2[[#This Row],[Ocak]:[Aralık]])</f>
        <v>0</v>
      </c>
    </row>
    <row r="666" spans="1:17" x14ac:dyDescent="0.3">
      <c r="A666" s="538"/>
      <c r="B666" s="56" t="s">
        <v>20</v>
      </c>
      <c r="C666" s="57" t="s">
        <v>6</v>
      </c>
      <c r="D666" s="57" t="s">
        <v>48</v>
      </c>
      <c r="E666" s="210"/>
      <c r="F666" s="108"/>
      <c r="G666" s="108"/>
      <c r="H666" s="59"/>
      <c r="I666" s="59"/>
      <c r="J666" s="59"/>
      <c r="K666" s="59"/>
      <c r="L666" s="59"/>
      <c r="M666" s="59"/>
      <c r="N666" s="59"/>
      <c r="O666" s="59"/>
      <c r="P666" s="59"/>
      <c r="Q666" s="59">
        <f>SUM(Tablo2[[#This Row],[Ocak]:[Aralık]])</f>
        <v>0</v>
      </c>
    </row>
    <row r="667" spans="1:17" x14ac:dyDescent="0.3">
      <c r="A667" s="538"/>
      <c r="B667" s="56" t="s">
        <v>20</v>
      </c>
      <c r="C667" s="57" t="s">
        <v>6</v>
      </c>
      <c r="D667" s="57" t="s">
        <v>50</v>
      </c>
      <c r="E667" s="210"/>
      <c r="F667" s="108"/>
      <c r="G667" s="108"/>
      <c r="H667" s="59"/>
      <c r="I667" s="59"/>
      <c r="J667" s="59"/>
      <c r="K667" s="59"/>
      <c r="L667" s="59"/>
      <c r="M667" s="59"/>
      <c r="N667" s="59"/>
      <c r="O667" s="59"/>
      <c r="P667" s="59"/>
      <c r="Q667" s="59">
        <f>SUM(Tablo2[[#This Row],[Ocak]:[Aralık]])</f>
        <v>0</v>
      </c>
    </row>
    <row r="668" spans="1:17" x14ac:dyDescent="0.3">
      <c r="A668" s="538">
        <v>2</v>
      </c>
      <c r="B668" s="56" t="s">
        <v>20</v>
      </c>
      <c r="C668" s="57" t="s">
        <v>10</v>
      </c>
      <c r="D668" s="57" t="s">
        <v>7</v>
      </c>
      <c r="E668" s="210"/>
      <c r="F668" s="108"/>
      <c r="G668" s="108"/>
      <c r="H668" s="59"/>
      <c r="I668" s="59"/>
      <c r="J668" s="59"/>
      <c r="K668" s="59"/>
      <c r="L668" s="59"/>
      <c r="M668" s="59"/>
      <c r="N668" s="59"/>
      <c r="O668" s="59"/>
      <c r="P668" s="59"/>
      <c r="Q668" s="59">
        <f>SUM(Tablo2[[#This Row],[Ocak]:[Aralık]])</f>
        <v>0</v>
      </c>
    </row>
    <row r="669" spans="1:17" x14ac:dyDescent="0.3">
      <c r="A669" s="538"/>
      <c r="B669" s="56" t="s">
        <v>20</v>
      </c>
      <c r="C669" s="57" t="s">
        <v>10</v>
      </c>
      <c r="D669" s="57" t="s">
        <v>11</v>
      </c>
      <c r="E669" s="210"/>
      <c r="F669" s="108"/>
      <c r="G669" s="108"/>
      <c r="H669" s="59"/>
      <c r="I669" s="59"/>
      <c r="J669" s="59"/>
      <c r="K669" s="59"/>
      <c r="L669" s="59"/>
      <c r="M669" s="59"/>
      <c r="N669" s="59"/>
      <c r="O669" s="59"/>
      <c r="P669" s="59"/>
      <c r="Q669" s="59">
        <f>SUM(Tablo2[[#This Row],[Ocak]:[Aralık]])</f>
        <v>0</v>
      </c>
    </row>
    <row r="670" spans="1:17" x14ac:dyDescent="0.3">
      <c r="A670" s="538"/>
      <c r="B670" s="56" t="s">
        <v>20</v>
      </c>
      <c r="C670" s="57" t="s">
        <v>10</v>
      </c>
      <c r="D670" s="57" t="s">
        <v>15</v>
      </c>
      <c r="E670" s="210"/>
      <c r="F670" s="108"/>
      <c r="G670" s="108"/>
      <c r="H670" s="59"/>
      <c r="I670" s="59"/>
      <c r="J670" s="59"/>
      <c r="K670" s="59"/>
      <c r="L670" s="59"/>
      <c r="M670" s="59"/>
      <c r="N670" s="59"/>
      <c r="O670" s="59"/>
      <c r="P670" s="59"/>
      <c r="Q670" s="59">
        <f>SUM(Tablo2[[#This Row],[Ocak]:[Aralık]])</f>
        <v>0</v>
      </c>
    </row>
    <row r="671" spans="1:17" x14ac:dyDescent="0.3">
      <c r="A671" s="538"/>
      <c r="B671" s="56" t="s">
        <v>20</v>
      </c>
      <c r="C671" s="57" t="s">
        <v>10</v>
      </c>
      <c r="D671" s="57" t="s">
        <v>19</v>
      </c>
      <c r="E671" s="210"/>
      <c r="F671" s="108"/>
      <c r="G671" s="108"/>
      <c r="H671" s="59"/>
      <c r="I671" s="59"/>
      <c r="J671" s="59"/>
      <c r="K671" s="59"/>
      <c r="L671" s="59"/>
      <c r="M671" s="59"/>
      <c r="N671" s="59"/>
      <c r="O671" s="59"/>
      <c r="P671" s="59"/>
      <c r="Q671" s="59">
        <f>SUM(Tablo2[[#This Row],[Ocak]:[Aralık]])</f>
        <v>0</v>
      </c>
    </row>
    <row r="672" spans="1:17" x14ac:dyDescent="0.3">
      <c r="A672" s="538"/>
      <c r="B672" s="56" t="s">
        <v>20</v>
      </c>
      <c r="C672" s="57" t="s">
        <v>10</v>
      </c>
      <c r="D672" s="57" t="s">
        <v>22</v>
      </c>
      <c r="E672" s="210"/>
      <c r="F672" s="108"/>
      <c r="G672" s="108"/>
      <c r="H672" s="59"/>
      <c r="I672" s="59"/>
      <c r="J672" s="59"/>
      <c r="K672" s="59"/>
      <c r="L672" s="59"/>
      <c r="M672" s="59"/>
      <c r="N672" s="59"/>
      <c r="O672" s="59"/>
      <c r="P672" s="59"/>
      <c r="Q672" s="59">
        <f>SUM(Tablo2[[#This Row],[Ocak]:[Aralık]])</f>
        <v>0</v>
      </c>
    </row>
    <row r="673" spans="1:17" x14ac:dyDescent="0.3">
      <c r="A673" s="538"/>
      <c r="B673" s="56" t="s">
        <v>20</v>
      </c>
      <c r="C673" s="57" t="s">
        <v>10</v>
      </c>
      <c r="D673" s="57" t="s">
        <v>25</v>
      </c>
      <c r="E673" s="210"/>
      <c r="F673" s="108"/>
      <c r="G673" s="108"/>
      <c r="H673" s="59"/>
      <c r="I673" s="59"/>
      <c r="J673" s="59"/>
      <c r="K673" s="59"/>
      <c r="L673" s="59"/>
      <c r="M673" s="59"/>
      <c r="N673" s="59"/>
      <c r="O673" s="59"/>
      <c r="P673" s="59"/>
      <c r="Q673" s="59">
        <f>SUM(Tablo2[[#This Row],[Ocak]:[Aralık]])</f>
        <v>0</v>
      </c>
    </row>
    <row r="674" spans="1:17" x14ac:dyDescent="0.3">
      <c r="A674" s="538"/>
      <c r="B674" s="56" t="s">
        <v>20</v>
      </c>
      <c r="C674" s="57" t="s">
        <v>10</v>
      </c>
      <c r="D674" s="57" t="s">
        <v>28</v>
      </c>
      <c r="E674" s="210"/>
      <c r="F674" s="108"/>
      <c r="G674" s="108"/>
      <c r="H674" s="59"/>
      <c r="I674" s="59"/>
      <c r="J674" s="59"/>
      <c r="K674" s="59"/>
      <c r="L674" s="59"/>
      <c r="M674" s="59"/>
      <c r="N674" s="59"/>
      <c r="O674" s="59"/>
      <c r="P674" s="59"/>
      <c r="Q674" s="59">
        <f>SUM(Tablo2[[#This Row],[Ocak]:[Aralık]])</f>
        <v>0</v>
      </c>
    </row>
    <row r="675" spans="1:17" x14ac:dyDescent="0.3">
      <c r="A675" s="538"/>
      <c r="B675" s="56" t="s">
        <v>20</v>
      </c>
      <c r="C675" s="57" t="s">
        <v>10</v>
      </c>
      <c r="D675" s="57" t="s">
        <v>31</v>
      </c>
      <c r="E675" s="210"/>
      <c r="F675" s="108"/>
      <c r="G675" s="108"/>
      <c r="H675" s="59"/>
      <c r="I675" s="59"/>
      <c r="J675" s="59"/>
      <c r="K675" s="59"/>
      <c r="L675" s="59"/>
      <c r="M675" s="59"/>
      <c r="N675" s="59"/>
      <c r="O675" s="59"/>
      <c r="P675" s="59"/>
      <c r="Q675" s="59">
        <f>SUM(Tablo2[[#This Row],[Ocak]:[Aralık]])</f>
        <v>0</v>
      </c>
    </row>
    <row r="676" spans="1:17" x14ac:dyDescent="0.3">
      <c r="A676" s="538"/>
      <c r="B676" s="56" t="s">
        <v>20</v>
      </c>
      <c r="C676" s="57" t="s">
        <v>10</v>
      </c>
      <c r="D676" s="57" t="s">
        <v>34</v>
      </c>
      <c r="E676" s="210"/>
      <c r="F676" s="108"/>
      <c r="G676" s="108"/>
      <c r="H676" s="59"/>
      <c r="I676" s="59"/>
      <c r="J676" s="59"/>
      <c r="K676" s="59"/>
      <c r="L676" s="59"/>
      <c r="M676" s="59"/>
      <c r="N676" s="59"/>
      <c r="O676" s="59"/>
      <c r="P676" s="59"/>
      <c r="Q676" s="59">
        <f>SUM(Tablo2[[#This Row],[Ocak]:[Aralık]])</f>
        <v>0</v>
      </c>
    </row>
    <row r="677" spans="1:17" x14ac:dyDescent="0.3">
      <c r="A677" s="538"/>
      <c r="B677" s="56" t="s">
        <v>20</v>
      </c>
      <c r="C677" s="57" t="s">
        <v>10</v>
      </c>
      <c r="D677" s="57" t="s">
        <v>37</v>
      </c>
      <c r="E677" s="210"/>
      <c r="F677" s="108"/>
      <c r="G677" s="108"/>
      <c r="H677" s="59"/>
      <c r="I677" s="59"/>
      <c r="J677" s="59"/>
      <c r="K677" s="59"/>
      <c r="L677" s="59"/>
      <c r="M677" s="59"/>
      <c r="N677" s="59"/>
      <c r="O677" s="59"/>
      <c r="P677" s="59"/>
      <c r="Q677" s="59">
        <f>SUM(Tablo2[[#This Row],[Ocak]:[Aralık]])</f>
        <v>0</v>
      </c>
    </row>
    <row r="678" spans="1:17" x14ac:dyDescent="0.3">
      <c r="A678" s="538"/>
      <c r="B678" s="56" t="s">
        <v>20</v>
      </c>
      <c r="C678" s="57" t="s">
        <v>10</v>
      </c>
      <c r="D678" s="57" t="s">
        <v>39</v>
      </c>
      <c r="E678" s="210"/>
      <c r="F678" s="108"/>
      <c r="G678" s="108"/>
      <c r="H678" s="59"/>
      <c r="I678" s="59"/>
      <c r="J678" s="59"/>
      <c r="K678" s="59"/>
      <c r="L678" s="59"/>
      <c r="M678" s="59"/>
      <c r="N678" s="59"/>
      <c r="O678" s="59"/>
      <c r="P678" s="59"/>
      <c r="Q678" s="59">
        <f>SUM(Tablo2[[#This Row],[Ocak]:[Aralık]])</f>
        <v>0</v>
      </c>
    </row>
    <row r="679" spans="1:17" x14ac:dyDescent="0.3">
      <c r="A679" s="538"/>
      <c r="B679" s="56" t="s">
        <v>20</v>
      </c>
      <c r="C679" s="57" t="s">
        <v>10</v>
      </c>
      <c r="D679" s="57" t="s">
        <v>42</v>
      </c>
      <c r="E679" s="210"/>
      <c r="F679" s="108"/>
      <c r="G679" s="108"/>
      <c r="H679" s="59"/>
      <c r="I679" s="59"/>
      <c r="J679" s="59"/>
      <c r="K679" s="59"/>
      <c r="L679" s="59"/>
      <c r="M679" s="59"/>
      <c r="N679" s="59"/>
      <c r="O679" s="59"/>
      <c r="P679" s="59"/>
      <c r="Q679" s="59">
        <f>SUM(Tablo2[[#This Row],[Ocak]:[Aralık]])</f>
        <v>0</v>
      </c>
    </row>
    <row r="680" spans="1:17" x14ac:dyDescent="0.3">
      <c r="A680" s="538"/>
      <c r="B680" s="56" t="s">
        <v>20</v>
      </c>
      <c r="C680" s="57" t="s">
        <v>10</v>
      </c>
      <c r="D680" s="57" t="s">
        <v>45</v>
      </c>
      <c r="E680" s="210"/>
      <c r="F680" s="108"/>
      <c r="G680" s="108"/>
      <c r="H680" s="59"/>
      <c r="I680" s="59"/>
      <c r="J680" s="59"/>
      <c r="K680" s="59"/>
      <c r="L680" s="59"/>
      <c r="M680" s="59"/>
      <c r="N680" s="59"/>
      <c r="O680" s="59"/>
      <c r="P680" s="59"/>
      <c r="Q680" s="59">
        <f>SUM(Tablo2[[#This Row],[Ocak]:[Aralık]])</f>
        <v>0</v>
      </c>
    </row>
    <row r="681" spans="1:17" x14ac:dyDescent="0.3">
      <c r="A681" s="538"/>
      <c r="B681" s="56" t="s">
        <v>20</v>
      </c>
      <c r="C681" s="57" t="s">
        <v>10</v>
      </c>
      <c r="D681" s="57" t="s">
        <v>48</v>
      </c>
      <c r="E681" s="210"/>
      <c r="F681" s="108"/>
      <c r="G681" s="108"/>
      <c r="H681" s="59"/>
      <c r="I681" s="59"/>
      <c r="J681" s="59"/>
      <c r="K681" s="59"/>
      <c r="L681" s="59"/>
      <c r="M681" s="59"/>
      <c r="N681" s="59"/>
      <c r="O681" s="59"/>
      <c r="P681" s="59"/>
      <c r="Q681" s="59">
        <f>SUM(Tablo2[[#This Row],[Ocak]:[Aralık]])</f>
        <v>0</v>
      </c>
    </row>
    <row r="682" spans="1:17" x14ac:dyDescent="0.3">
      <c r="A682" s="538"/>
      <c r="B682" s="56" t="s">
        <v>20</v>
      </c>
      <c r="C682" s="57" t="s">
        <v>10</v>
      </c>
      <c r="D682" s="57" t="s">
        <v>50</v>
      </c>
      <c r="E682" s="210"/>
      <c r="F682" s="108"/>
      <c r="G682" s="108"/>
      <c r="H682" s="59"/>
      <c r="I682" s="59"/>
      <c r="J682" s="59"/>
      <c r="K682" s="59"/>
      <c r="L682" s="59"/>
      <c r="M682" s="59"/>
      <c r="N682" s="59"/>
      <c r="O682" s="59"/>
      <c r="P682" s="59"/>
      <c r="Q682" s="59">
        <f>SUM(Tablo2[[#This Row],[Ocak]:[Aralık]])</f>
        <v>0</v>
      </c>
    </row>
    <row r="683" spans="1:17" x14ac:dyDescent="0.3">
      <c r="A683" s="54">
        <v>5</v>
      </c>
      <c r="B683" s="56" t="s">
        <v>20</v>
      </c>
      <c r="C683" s="57" t="s">
        <v>14</v>
      </c>
      <c r="D683" s="57"/>
      <c r="E683" s="210"/>
      <c r="F683" s="108"/>
      <c r="G683" s="108"/>
      <c r="H683" s="59"/>
      <c r="I683" s="59"/>
      <c r="J683" s="59"/>
      <c r="K683" s="59"/>
      <c r="L683" s="59"/>
      <c r="M683" s="59"/>
      <c r="N683" s="59"/>
      <c r="O683" s="59"/>
      <c r="P683" s="59"/>
      <c r="Q683" s="59">
        <f>SUM(Tablo2[[#This Row],[Ocak]:[Aralık]])</f>
        <v>0</v>
      </c>
    </row>
    <row r="684" spans="1:17" x14ac:dyDescent="0.3">
      <c r="A684" s="54">
        <v>6</v>
      </c>
      <c r="B684" s="56" t="s">
        <v>20</v>
      </c>
      <c r="C684" s="57" t="s">
        <v>18</v>
      </c>
      <c r="D684" s="57"/>
      <c r="E684" s="210"/>
      <c r="F684" s="108"/>
      <c r="G684" s="108"/>
      <c r="H684" s="59"/>
      <c r="I684" s="59"/>
      <c r="J684" s="59"/>
      <c r="K684" s="59"/>
      <c r="L684" s="59"/>
      <c r="M684" s="59"/>
      <c r="N684" s="59"/>
      <c r="O684" s="59"/>
      <c r="P684" s="59"/>
      <c r="Q684" s="59">
        <f>SUM(Tablo2[[#This Row],[Ocak]:[Aralık]])</f>
        <v>0</v>
      </c>
    </row>
    <row r="685" spans="1:17" x14ac:dyDescent="0.3">
      <c r="A685" s="54">
        <v>7</v>
      </c>
      <c r="B685" s="56" t="s">
        <v>20</v>
      </c>
      <c r="C685" s="57" t="s">
        <v>21</v>
      </c>
      <c r="D685" s="57"/>
      <c r="E685" s="210"/>
      <c r="F685" s="108"/>
      <c r="G685" s="108"/>
      <c r="H685" s="59"/>
      <c r="I685" s="59"/>
      <c r="J685" s="59"/>
      <c r="K685" s="59"/>
      <c r="L685" s="59"/>
      <c r="M685" s="59"/>
      <c r="N685" s="59"/>
      <c r="O685" s="59"/>
      <c r="P685" s="59"/>
      <c r="Q685" s="59">
        <f>SUM(Tablo2[[#This Row],[Ocak]:[Aralık]])</f>
        <v>0</v>
      </c>
    </row>
    <row r="686" spans="1:17" x14ac:dyDescent="0.3">
      <c r="A686" s="54">
        <v>8</v>
      </c>
      <c r="B686" s="56" t="s">
        <v>20</v>
      </c>
      <c r="C686" s="57" t="s">
        <v>24</v>
      </c>
      <c r="D686" s="57"/>
      <c r="E686" s="210"/>
      <c r="F686" s="108"/>
      <c r="G686" s="108"/>
      <c r="H686" s="59"/>
      <c r="I686" s="59"/>
      <c r="J686" s="59"/>
      <c r="K686" s="59"/>
      <c r="L686" s="59"/>
      <c r="M686" s="59"/>
      <c r="N686" s="59"/>
      <c r="O686" s="59"/>
      <c r="P686" s="59"/>
      <c r="Q686" s="59">
        <f>SUM(Tablo2[[#This Row],[Ocak]:[Aralık]])</f>
        <v>0</v>
      </c>
    </row>
    <row r="687" spans="1:17" x14ac:dyDescent="0.3">
      <c r="A687" s="54">
        <v>9</v>
      </c>
      <c r="B687" s="56" t="s">
        <v>20</v>
      </c>
      <c r="C687" s="57" t="s">
        <v>27</v>
      </c>
      <c r="D687" s="57"/>
      <c r="E687" s="210"/>
      <c r="F687" s="108"/>
      <c r="G687" s="108"/>
      <c r="H687" s="59"/>
      <c r="I687" s="59"/>
      <c r="J687" s="59"/>
      <c r="K687" s="59"/>
      <c r="L687" s="59"/>
      <c r="M687" s="59"/>
      <c r="N687" s="59"/>
      <c r="O687" s="59"/>
      <c r="P687" s="59"/>
      <c r="Q687" s="59">
        <f>SUM(Tablo2[[#This Row],[Ocak]:[Aralık]])</f>
        <v>0</v>
      </c>
    </row>
    <row r="688" spans="1:17" x14ac:dyDescent="0.3">
      <c r="A688" s="54">
        <v>10</v>
      </c>
      <c r="B688" s="56" t="s">
        <v>20</v>
      </c>
      <c r="C688" s="57" t="s">
        <v>30</v>
      </c>
      <c r="D688" s="57"/>
      <c r="E688" s="210"/>
      <c r="F688" s="108"/>
      <c r="G688" s="108"/>
      <c r="H688" s="59"/>
      <c r="I688" s="59"/>
      <c r="J688" s="59"/>
      <c r="K688" s="59"/>
      <c r="L688" s="59"/>
      <c r="M688" s="59"/>
      <c r="N688" s="59"/>
      <c r="O688" s="59"/>
      <c r="P688" s="59"/>
      <c r="Q688" s="59">
        <f>SUM(Tablo2[[#This Row],[Ocak]:[Aralık]])</f>
        <v>0</v>
      </c>
    </row>
    <row r="689" spans="1:17" x14ac:dyDescent="0.3">
      <c r="A689" s="54">
        <v>11</v>
      </c>
      <c r="B689" s="56" t="s">
        <v>20</v>
      </c>
      <c r="C689" s="57" t="s">
        <v>33</v>
      </c>
      <c r="D689" s="57"/>
      <c r="E689" s="210"/>
      <c r="F689" s="108"/>
      <c r="G689" s="108"/>
      <c r="H689" s="59"/>
      <c r="I689" s="59"/>
      <c r="J689" s="59"/>
      <c r="K689" s="59"/>
      <c r="L689" s="59"/>
      <c r="M689" s="59"/>
      <c r="N689" s="59"/>
      <c r="O689" s="59"/>
      <c r="P689" s="59"/>
      <c r="Q689" s="59">
        <f>SUM(Tablo2[[#This Row],[Ocak]:[Aralık]])</f>
        <v>0</v>
      </c>
    </row>
    <row r="690" spans="1:17" x14ac:dyDescent="0.3">
      <c r="A690" s="54">
        <v>12</v>
      </c>
      <c r="B690" s="56" t="s">
        <v>20</v>
      </c>
      <c r="C690" s="57" t="s">
        <v>36</v>
      </c>
      <c r="D690" s="57"/>
      <c r="E690" s="210"/>
      <c r="F690" s="108"/>
      <c r="G690" s="108"/>
      <c r="H690" s="59"/>
      <c r="I690" s="59"/>
      <c r="J690" s="59"/>
      <c r="K690" s="59"/>
      <c r="L690" s="59"/>
      <c r="M690" s="59"/>
      <c r="N690" s="59"/>
      <c r="O690" s="59"/>
      <c r="P690" s="59"/>
      <c r="Q690" s="59">
        <f>SUM(Tablo2[[#This Row],[Ocak]:[Aralık]])</f>
        <v>0</v>
      </c>
    </row>
    <row r="691" spans="1:17" x14ac:dyDescent="0.3">
      <c r="A691" s="54">
        <v>13</v>
      </c>
      <c r="B691" s="56" t="s">
        <v>20</v>
      </c>
      <c r="C691" s="57" t="s">
        <v>38</v>
      </c>
      <c r="D691" s="57"/>
      <c r="E691" s="210"/>
      <c r="F691" s="108"/>
      <c r="G691" s="108"/>
      <c r="H691" s="59"/>
      <c r="I691" s="59"/>
      <c r="J691" s="59"/>
      <c r="K691" s="59"/>
      <c r="L691" s="59"/>
      <c r="M691" s="59"/>
      <c r="N691" s="59"/>
      <c r="O691" s="59"/>
      <c r="P691" s="59"/>
      <c r="Q691" s="59">
        <f>SUM(Tablo2[[#This Row],[Ocak]:[Aralık]])</f>
        <v>0</v>
      </c>
    </row>
    <row r="692" spans="1:17" x14ac:dyDescent="0.3">
      <c r="A692" s="54">
        <v>14</v>
      </c>
      <c r="B692" s="56" t="s">
        <v>20</v>
      </c>
      <c r="C692" s="57" t="s">
        <v>41</v>
      </c>
      <c r="D692" s="57"/>
      <c r="E692" s="210"/>
      <c r="F692" s="108"/>
      <c r="G692" s="108"/>
      <c r="H692" s="59"/>
      <c r="I692" s="59"/>
      <c r="J692" s="59"/>
      <c r="K692" s="59"/>
      <c r="L692" s="59"/>
      <c r="M692" s="59"/>
      <c r="N692" s="59"/>
      <c r="O692" s="59"/>
      <c r="P692" s="59"/>
      <c r="Q692" s="59">
        <f>SUM(Tablo2[[#This Row],[Ocak]:[Aralık]])</f>
        <v>0</v>
      </c>
    </row>
    <row r="693" spans="1:17" x14ac:dyDescent="0.3">
      <c r="A693" s="54">
        <v>15</v>
      </c>
      <c r="B693" s="56" t="s">
        <v>20</v>
      </c>
      <c r="C693" s="57" t="s">
        <v>44</v>
      </c>
      <c r="D693" s="57"/>
      <c r="E693" s="210"/>
      <c r="F693" s="108"/>
      <c r="G693" s="108"/>
      <c r="H693" s="59"/>
      <c r="I693" s="59"/>
      <c r="J693" s="59"/>
      <c r="K693" s="59"/>
      <c r="L693" s="59"/>
      <c r="M693" s="59"/>
      <c r="N693" s="59"/>
      <c r="O693" s="59"/>
      <c r="P693" s="59"/>
      <c r="Q693" s="59">
        <f>SUM(Tablo2[[#This Row],[Ocak]:[Aralık]])</f>
        <v>0</v>
      </c>
    </row>
    <row r="694" spans="1:17" x14ac:dyDescent="0.3">
      <c r="A694" s="54">
        <v>16</v>
      </c>
      <c r="B694" s="56" t="s">
        <v>20</v>
      </c>
      <c r="C694" s="57" t="s">
        <v>47</v>
      </c>
      <c r="D694" s="57"/>
      <c r="E694" s="210"/>
      <c r="F694" s="108"/>
      <c r="G694" s="108"/>
      <c r="H694" s="59"/>
      <c r="I694" s="59"/>
      <c r="J694" s="59"/>
      <c r="K694" s="59"/>
      <c r="L694" s="59"/>
      <c r="M694" s="59"/>
      <c r="N694" s="59"/>
      <c r="O694" s="59"/>
      <c r="P694" s="59"/>
      <c r="Q694" s="59">
        <f>SUM(Tablo2[[#This Row],[Ocak]:[Aralık]])</f>
        <v>0</v>
      </c>
    </row>
    <row r="695" spans="1:17" x14ac:dyDescent="0.3">
      <c r="A695" s="54">
        <v>17</v>
      </c>
      <c r="B695" s="56" t="s">
        <v>20</v>
      </c>
      <c r="C695" s="57" t="s">
        <v>49</v>
      </c>
      <c r="D695" s="57"/>
      <c r="E695" s="210"/>
      <c r="F695" s="108"/>
      <c r="G695" s="108"/>
      <c r="H695" s="59"/>
      <c r="I695" s="59"/>
      <c r="J695" s="59"/>
      <c r="K695" s="59"/>
      <c r="L695" s="59"/>
      <c r="M695" s="59"/>
      <c r="N695" s="59"/>
      <c r="O695" s="59"/>
      <c r="P695" s="59"/>
      <c r="Q695" s="59">
        <f>SUM(Tablo2[[#This Row],[Ocak]:[Aralık]])</f>
        <v>0</v>
      </c>
    </row>
    <row r="696" spans="1:17" x14ac:dyDescent="0.3">
      <c r="A696" s="54">
        <v>18</v>
      </c>
      <c r="B696" s="56" t="s">
        <v>20</v>
      </c>
      <c r="C696" s="57" t="s">
        <v>51</v>
      </c>
      <c r="D696" s="57"/>
      <c r="E696" s="210"/>
      <c r="F696" s="108"/>
      <c r="G696" s="108"/>
      <c r="H696" s="59"/>
      <c r="I696" s="59"/>
      <c r="J696" s="59"/>
      <c r="K696" s="59"/>
      <c r="L696" s="59"/>
      <c r="M696" s="59"/>
      <c r="N696" s="59"/>
      <c r="O696" s="59"/>
      <c r="P696" s="59"/>
      <c r="Q696" s="59">
        <f>SUM(Tablo2[[#This Row],[Ocak]:[Aralık]])</f>
        <v>0</v>
      </c>
    </row>
    <row r="697" spans="1:17" x14ac:dyDescent="0.3">
      <c r="A697" s="54">
        <v>19</v>
      </c>
      <c r="B697" s="56" t="s">
        <v>20</v>
      </c>
      <c r="C697" s="57" t="s">
        <v>52</v>
      </c>
      <c r="D697" s="57"/>
      <c r="E697" s="210"/>
      <c r="F697" s="108"/>
      <c r="G697" s="108"/>
      <c r="H697" s="59"/>
      <c r="I697" s="59"/>
      <c r="J697" s="59"/>
      <c r="K697" s="59"/>
      <c r="L697" s="59"/>
      <c r="M697" s="59"/>
      <c r="N697" s="59"/>
      <c r="O697" s="59"/>
      <c r="P697" s="59"/>
      <c r="Q697" s="59">
        <f>SUM(Tablo2[[#This Row],[Ocak]:[Aralık]])</f>
        <v>0</v>
      </c>
    </row>
    <row r="698" spans="1:17" x14ac:dyDescent="0.3">
      <c r="A698" s="54">
        <v>20</v>
      </c>
      <c r="B698" s="56" t="s">
        <v>20</v>
      </c>
      <c r="C698" s="57" t="s">
        <v>53</v>
      </c>
      <c r="D698" s="57"/>
      <c r="E698" s="210"/>
      <c r="F698" s="108"/>
      <c r="G698" s="108"/>
      <c r="H698" s="59"/>
      <c r="I698" s="59"/>
      <c r="J698" s="59"/>
      <c r="K698" s="59"/>
      <c r="L698" s="59"/>
      <c r="M698" s="59"/>
      <c r="N698" s="59"/>
      <c r="O698" s="59"/>
      <c r="P698" s="59"/>
      <c r="Q698" s="59">
        <f>SUM(Tablo2[[#This Row],[Ocak]:[Aralık]])</f>
        <v>0</v>
      </c>
    </row>
    <row r="699" spans="1:17" x14ac:dyDescent="0.3">
      <c r="A699" s="54">
        <v>21</v>
      </c>
      <c r="B699" s="56" t="s">
        <v>20</v>
      </c>
      <c r="C699" s="57" t="s">
        <v>54</v>
      </c>
      <c r="D699" s="57"/>
      <c r="E699" s="210"/>
      <c r="F699" s="108"/>
      <c r="G699" s="108"/>
      <c r="H699" s="59"/>
      <c r="I699" s="59"/>
      <c r="J699" s="59"/>
      <c r="K699" s="59"/>
      <c r="L699" s="59"/>
      <c r="M699" s="59"/>
      <c r="N699" s="59"/>
      <c r="O699" s="59"/>
      <c r="P699" s="59"/>
      <c r="Q699" s="59">
        <f>SUM(Tablo2[[#This Row],[Ocak]:[Aralık]])</f>
        <v>0</v>
      </c>
    </row>
    <row r="700" spans="1:17" x14ac:dyDescent="0.3">
      <c r="A700" s="54">
        <v>22</v>
      </c>
      <c r="B700" s="56" t="s">
        <v>20</v>
      </c>
      <c r="C700" s="57" t="s">
        <v>55</v>
      </c>
      <c r="D700" s="57"/>
      <c r="E700" s="210"/>
      <c r="F700" s="108"/>
      <c r="G700" s="108"/>
      <c r="H700" s="59"/>
      <c r="I700" s="59"/>
      <c r="J700" s="59"/>
      <c r="K700" s="59"/>
      <c r="L700" s="59"/>
      <c r="M700" s="59"/>
      <c r="N700" s="59"/>
      <c r="O700" s="59"/>
      <c r="P700" s="59"/>
      <c r="Q700" s="59">
        <f>SUM(Tablo2[[#This Row],[Ocak]:[Aralık]])</f>
        <v>0</v>
      </c>
    </row>
    <row r="701" spans="1:17" x14ac:dyDescent="0.3">
      <c r="A701" s="54">
        <v>23</v>
      </c>
      <c r="B701" s="56" t="s">
        <v>20</v>
      </c>
      <c r="C701" s="57" t="s">
        <v>56</v>
      </c>
      <c r="D701" s="57"/>
      <c r="E701" s="210"/>
      <c r="F701" s="108"/>
      <c r="G701" s="108"/>
      <c r="H701" s="59"/>
      <c r="I701" s="59"/>
      <c r="J701" s="59"/>
      <c r="K701" s="59"/>
      <c r="L701" s="59"/>
      <c r="M701" s="59"/>
      <c r="N701" s="59"/>
      <c r="O701" s="59"/>
      <c r="P701" s="59"/>
      <c r="Q701" s="59">
        <f>SUM(Tablo2[[#This Row],[Ocak]:[Aralık]])</f>
        <v>0</v>
      </c>
    </row>
    <row r="702" spans="1:17" x14ac:dyDescent="0.3">
      <c r="A702" s="54">
        <v>24</v>
      </c>
      <c r="B702" s="56" t="s">
        <v>20</v>
      </c>
      <c r="C702" s="57" t="s">
        <v>57</v>
      </c>
      <c r="D702" s="57"/>
      <c r="E702" s="58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>
        <f>SUM(Tablo2[[#This Row],[Ocak]:[Aralık]])</f>
        <v>0</v>
      </c>
    </row>
    <row r="703" spans="1:17" x14ac:dyDescent="0.3">
      <c r="A703" s="538">
        <v>1</v>
      </c>
      <c r="B703" s="401" t="s">
        <v>19</v>
      </c>
      <c r="C703" s="57" t="s">
        <v>6</v>
      </c>
      <c r="D703" s="57" t="s">
        <v>7</v>
      </c>
      <c r="E703" s="399"/>
      <c r="F703" s="400"/>
      <c r="G703" s="400"/>
      <c r="H703" s="400"/>
      <c r="I703" s="400"/>
      <c r="J703" s="400"/>
      <c r="K703" s="400"/>
      <c r="L703" s="400"/>
      <c r="M703" s="400"/>
      <c r="N703" s="400"/>
      <c r="O703" s="400"/>
      <c r="P703" s="400"/>
      <c r="Q703" s="400">
        <f>SUM(Tablo2[[#This Row],[Ocak]:[Aralık]])</f>
        <v>0</v>
      </c>
    </row>
    <row r="704" spans="1:17" x14ac:dyDescent="0.3">
      <c r="A704" s="538"/>
      <c r="B704" s="401" t="s">
        <v>19</v>
      </c>
      <c r="C704" s="57" t="s">
        <v>6</v>
      </c>
      <c r="D704" s="57" t="s">
        <v>11</v>
      </c>
      <c r="E704" s="399"/>
      <c r="F704" s="400"/>
      <c r="G704" s="400"/>
      <c r="H704" s="400"/>
      <c r="I704" s="400"/>
      <c r="J704" s="400"/>
      <c r="K704" s="400"/>
      <c r="L704" s="400"/>
      <c r="M704" s="400"/>
      <c r="N704" s="400"/>
      <c r="O704" s="400"/>
      <c r="P704" s="400"/>
      <c r="Q704" s="400">
        <f>SUM(Tablo2[[#This Row],[Ocak]:[Aralık]])</f>
        <v>0</v>
      </c>
    </row>
    <row r="705" spans="1:17" x14ac:dyDescent="0.3">
      <c r="A705" s="538"/>
      <c r="B705" s="401" t="s">
        <v>19</v>
      </c>
      <c r="C705" s="57" t="s">
        <v>6</v>
      </c>
      <c r="D705" s="57" t="s">
        <v>15</v>
      </c>
      <c r="E705" s="399"/>
      <c r="F705" s="400"/>
      <c r="G705" s="400"/>
      <c r="H705" s="400"/>
      <c r="I705" s="400"/>
      <c r="J705" s="400"/>
      <c r="K705" s="400"/>
      <c r="L705" s="400"/>
      <c r="M705" s="400"/>
      <c r="N705" s="400"/>
      <c r="O705" s="400"/>
      <c r="P705" s="400"/>
      <c r="Q705" s="400">
        <f>SUM(Tablo2[[#This Row],[Ocak]:[Aralık]])</f>
        <v>0</v>
      </c>
    </row>
    <row r="706" spans="1:17" x14ac:dyDescent="0.3">
      <c r="A706" s="538"/>
      <c r="B706" s="401" t="s">
        <v>19</v>
      </c>
      <c r="C706" s="57" t="s">
        <v>6</v>
      </c>
      <c r="D706" s="57" t="s">
        <v>19</v>
      </c>
      <c r="E706" s="399"/>
      <c r="F706" s="400"/>
      <c r="G706" s="400"/>
      <c r="H706" s="400"/>
      <c r="I706" s="400"/>
      <c r="J706" s="400"/>
      <c r="K706" s="400"/>
      <c r="L706" s="400"/>
      <c r="M706" s="400"/>
      <c r="N706" s="400"/>
      <c r="O706" s="400"/>
      <c r="P706" s="400"/>
      <c r="Q706" s="400">
        <f>SUM(Tablo2[[#This Row],[Ocak]:[Aralık]])</f>
        <v>0</v>
      </c>
    </row>
    <row r="707" spans="1:17" x14ac:dyDescent="0.3">
      <c r="A707" s="538"/>
      <c r="B707" s="401" t="s">
        <v>19</v>
      </c>
      <c r="C707" s="57" t="s">
        <v>6</v>
      </c>
      <c r="D707" s="57" t="s">
        <v>22</v>
      </c>
      <c r="E707" s="399"/>
      <c r="F707" s="400"/>
      <c r="G707" s="400"/>
      <c r="H707" s="400"/>
      <c r="I707" s="400"/>
      <c r="J707" s="400"/>
      <c r="K707" s="400"/>
      <c r="L707" s="400"/>
      <c r="M707" s="400"/>
      <c r="N707" s="400"/>
      <c r="O707" s="400"/>
      <c r="P707" s="400"/>
      <c r="Q707" s="400">
        <f>SUM(Tablo2[[#This Row],[Ocak]:[Aralık]])</f>
        <v>0</v>
      </c>
    </row>
    <row r="708" spans="1:17" x14ac:dyDescent="0.3">
      <c r="A708" s="538"/>
      <c r="B708" s="401" t="s">
        <v>19</v>
      </c>
      <c r="C708" s="57" t="s">
        <v>6</v>
      </c>
      <c r="D708" s="57" t="s">
        <v>25</v>
      </c>
      <c r="E708" s="399"/>
      <c r="F708" s="400"/>
      <c r="G708" s="400"/>
      <c r="H708" s="400"/>
      <c r="I708" s="400"/>
      <c r="J708" s="400"/>
      <c r="K708" s="400"/>
      <c r="L708" s="400"/>
      <c r="M708" s="400"/>
      <c r="N708" s="400"/>
      <c r="O708" s="400"/>
      <c r="P708" s="400"/>
      <c r="Q708" s="400">
        <f>SUM(Tablo2[[#This Row],[Ocak]:[Aralık]])</f>
        <v>0</v>
      </c>
    </row>
    <row r="709" spans="1:17" x14ac:dyDescent="0.3">
      <c r="A709" s="538"/>
      <c r="B709" s="401" t="s">
        <v>19</v>
      </c>
      <c r="C709" s="57" t="s">
        <v>6</v>
      </c>
      <c r="D709" s="57" t="s">
        <v>28</v>
      </c>
      <c r="E709" s="399"/>
      <c r="F709" s="400"/>
      <c r="G709" s="400"/>
      <c r="H709" s="400"/>
      <c r="I709" s="400"/>
      <c r="J709" s="400"/>
      <c r="K709" s="400"/>
      <c r="L709" s="400"/>
      <c r="M709" s="400"/>
      <c r="N709" s="400"/>
      <c r="O709" s="400"/>
      <c r="P709" s="400"/>
      <c r="Q709" s="400">
        <f>SUM(Tablo2[[#This Row],[Ocak]:[Aralık]])</f>
        <v>0</v>
      </c>
    </row>
    <row r="710" spans="1:17" x14ac:dyDescent="0.3">
      <c r="A710" s="538"/>
      <c r="B710" s="401" t="s">
        <v>19</v>
      </c>
      <c r="C710" s="57" t="s">
        <v>6</v>
      </c>
      <c r="D710" s="57" t="s">
        <v>31</v>
      </c>
      <c r="E710" s="399"/>
      <c r="F710" s="400"/>
      <c r="G710" s="400"/>
      <c r="H710" s="400"/>
      <c r="I710" s="400"/>
      <c r="J710" s="400"/>
      <c r="K710" s="400"/>
      <c r="L710" s="400"/>
      <c r="M710" s="400"/>
      <c r="N710" s="400"/>
      <c r="O710" s="400"/>
      <c r="P710" s="400"/>
      <c r="Q710" s="400">
        <f>SUM(Tablo2[[#This Row],[Ocak]:[Aralık]])</f>
        <v>0</v>
      </c>
    </row>
    <row r="711" spans="1:17" x14ac:dyDescent="0.3">
      <c r="A711" s="538"/>
      <c r="B711" s="401" t="s">
        <v>19</v>
      </c>
      <c r="C711" s="57" t="s">
        <v>6</v>
      </c>
      <c r="D711" s="57" t="s">
        <v>34</v>
      </c>
      <c r="E711" s="399"/>
      <c r="F711" s="400"/>
      <c r="G711" s="400"/>
      <c r="H711" s="400"/>
      <c r="I711" s="400"/>
      <c r="J711" s="400"/>
      <c r="K711" s="400"/>
      <c r="L711" s="400"/>
      <c r="M711" s="400"/>
      <c r="N711" s="400"/>
      <c r="O711" s="400"/>
      <c r="P711" s="400"/>
      <c r="Q711" s="400">
        <f>SUM(Tablo2[[#This Row],[Ocak]:[Aralık]])</f>
        <v>0</v>
      </c>
    </row>
    <row r="712" spans="1:17" x14ac:dyDescent="0.3">
      <c r="A712" s="538"/>
      <c r="B712" s="401" t="s">
        <v>19</v>
      </c>
      <c r="C712" s="57" t="s">
        <v>6</v>
      </c>
      <c r="D712" s="57" t="s">
        <v>37</v>
      </c>
      <c r="E712" s="399"/>
      <c r="F712" s="400"/>
      <c r="G712" s="400"/>
      <c r="H712" s="400"/>
      <c r="I712" s="400"/>
      <c r="J712" s="400"/>
      <c r="K712" s="400"/>
      <c r="L712" s="400"/>
      <c r="M712" s="400"/>
      <c r="N712" s="400"/>
      <c r="O712" s="400"/>
      <c r="P712" s="400"/>
      <c r="Q712" s="400">
        <f>SUM(Tablo2[[#This Row],[Ocak]:[Aralık]])</f>
        <v>0</v>
      </c>
    </row>
    <row r="713" spans="1:17" x14ac:dyDescent="0.3">
      <c r="A713" s="538"/>
      <c r="B713" s="401" t="s">
        <v>19</v>
      </c>
      <c r="C713" s="57" t="s">
        <v>6</v>
      </c>
      <c r="D713" s="57" t="s">
        <v>39</v>
      </c>
      <c r="E713" s="399"/>
      <c r="F713" s="400"/>
      <c r="G713" s="400"/>
      <c r="H713" s="400"/>
      <c r="I713" s="400"/>
      <c r="J713" s="400"/>
      <c r="K713" s="400"/>
      <c r="L713" s="400"/>
      <c r="M713" s="400"/>
      <c r="N713" s="400"/>
      <c r="O713" s="400"/>
      <c r="P713" s="400"/>
      <c r="Q713" s="400">
        <f>SUM(Tablo2[[#This Row],[Ocak]:[Aralık]])</f>
        <v>0</v>
      </c>
    </row>
    <row r="714" spans="1:17" x14ac:dyDescent="0.3">
      <c r="A714" s="538"/>
      <c r="B714" s="401" t="s">
        <v>19</v>
      </c>
      <c r="C714" s="57" t="s">
        <v>6</v>
      </c>
      <c r="D714" s="57" t="s">
        <v>42</v>
      </c>
      <c r="E714" s="399"/>
      <c r="F714" s="400"/>
      <c r="G714" s="400"/>
      <c r="H714" s="400"/>
      <c r="I714" s="400"/>
      <c r="J714" s="400"/>
      <c r="K714" s="400"/>
      <c r="L714" s="400"/>
      <c r="M714" s="400"/>
      <c r="N714" s="400"/>
      <c r="O714" s="400"/>
      <c r="P714" s="400"/>
      <c r="Q714" s="400">
        <f>SUM(Tablo2[[#This Row],[Ocak]:[Aralık]])</f>
        <v>0</v>
      </c>
    </row>
    <row r="715" spans="1:17" x14ac:dyDescent="0.3">
      <c r="A715" s="538"/>
      <c r="B715" s="401" t="s">
        <v>19</v>
      </c>
      <c r="C715" s="57" t="s">
        <v>6</v>
      </c>
      <c r="D715" s="57" t="s">
        <v>45</v>
      </c>
      <c r="E715" s="399"/>
      <c r="F715" s="400"/>
      <c r="G715" s="400"/>
      <c r="H715" s="400"/>
      <c r="I715" s="400"/>
      <c r="J715" s="400"/>
      <c r="K715" s="400"/>
      <c r="L715" s="400"/>
      <c r="M715" s="400"/>
      <c r="N715" s="400"/>
      <c r="O715" s="400"/>
      <c r="P715" s="400"/>
      <c r="Q715" s="400">
        <f>SUM(Tablo2[[#This Row],[Ocak]:[Aralık]])</f>
        <v>0</v>
      </c>
    </row>
    <row r="716" spans="1:17" x14ac:dyDescent="0.3">
      <c r="A716" s="538"/>
      <c r="B716" s="401" t="s">
        <v>19</v>
      </c>
      <c r="C716" s="57" t="s">
        <v>6</v>
      </c>
      <c r="D716" s="57" t="s">
        <v>48</v>
      </c>
      <c r="E716" s="399"/>
      <c r="F716" s="400"/>
      <c r="G716" s="400"/>
      <c r="H716" s="400"/>
      <c r="I716" s="400"/>
      <c r="J716" s="400"/>
      <c r="K716" s="400"/>
      <c r="L716" s="400"/>
      <c r="M716" s="400"/>
      <c r="N716" s="400"/>
      <c r="O716" s="400"/>
      <c r="P716" s="400"/>
      <c r="Q716" s="400">
        <f>SUM(Tablo2[[#This Row],[Ocak]:[Aralık]])</f>
        <v>0</v>
      </c>
    </row>
    <row r="717" spans="1:17" x14ac:dyDescent="0.3">
      <c r="A717" s="538"/>
      <c r="B717" s="401" t="s">
        <v>19</v>
      </c>
      <c r="C717" s="57" t="s">
        <v>6</v>
      </c>
      <c r="D717" s="57" t="s">
        <v>50</v>
      </c>
      <c r="E717" s="399"/>
      <c r="F717" s="400"/>
      <c r="G717" s="400"/>
      <c r="H717" s="400"/>
      <c r="I717" s="400"/>
      <c r="J717" s="400"/>
      <c r="K717" s="400"/>
      <c r="L717" s="400"/>
      <c r="M717" s="400"/>
      <c r="N717" s="400"/>
      <c r="O717" s="400"/>
      <c r="P717" s="400"/>
      <c r="Q717" s="400">
        <f>SUM(Tablo2[[#This Row],[Ocak]:[Aralık]])</f>
        <v>0</v>
      </c>
    </row>
    <row r="718" spans="1:17" x14ac:dyDescent="0.3">
      <c r="A718" s="538">
        <v>2</v>
      </c>
      <c r="B718" s="401" t="s">
        <v>19</v>
      </c>
      <c r="C718" s="57" t="s">
        <v>10</v>
      </c>
      <c r="D718" s="57" t="s">
        <v>7</v>
      </c>
      <c r="E718" s="399"/>
      <c r="F718" s="400"/>
      <c r="G718" s="400"/>
      <c r="H718" s="400"/>
      <c r="I718" s="400"/>
      <c r="J718" s="400"/>
      <c r="K718" s="400"/>
      <c r="L718" s="400"/>
      <c r="M718" s="400"/>
      <c r="N718" s="400"/>
      <c r="O718" s="400"/>
      <c r="P718" s="400"/>
      <c r="Q718" s="400">
        <f>SUM(Tablo2[[#This Row],[Ocak]:[Aralık]])</f>
        <v>0</v>
      </c>
    </row>
    <row r="719" spans="1:17" x14ac:dyDescent="0.3">
      <c r="A719" s="538"/>
      <c r="B719" s="401" t="s">
        <v>19</v>
      </c>
      <c r="C719" s="57" t="s">
        <v>10</v>
      </c>
      <c r="D719" s="57" t="s">
        <v>11</v>
      </c>
      <c r="E719" s="399"/>
      <c r="F719" s="400"/>
      <c r="G719" s="400"/>
      <c r="H719" s="400"/>
      <c r="I719" s="400"/>
      <c r="J719" s="400"/>
      <c r="K719" s="400"/>
      <c r="L719" s="400"/>
      <c r="M719" s="400"/>
      <c r="N719" s="400"/>
      <c r="O719" s="400"/>
      <c r="P719" s="400"/>
      <c r="Q719" s="400">
        <f>SUM(Tablo2[[#This Row],[Ocak]:[Aralık]])</f>
        <v>0</v>
      </c>
    </row>
    <row r="720" spans="1:17" x14ac:dyDescent="0.3">
      <c r="A720" s="538"/>
      <c r="B720" s="401" t="s">
        <v>19</v>
      </c>
      <c r="C720" s="57" t="s">
        <v>10</v>
      </c>
      <c r="D720" s="57" t="s">
        <v>15</v>
      </c>
      <c r="E720" s="399"/>
      <c r="F720" s="400"/>
      <c r="G720" s="400"/>
      <c r="H720" s="400"/>
      <c r="I720" s="400"/>
      <c r="J720" s="400"/>
      <c r="K720" s="400"/>
      <c r="L720" s="400"/>
      <c r="M720" s="400"/>
      <c r="N720" s="400"/>
      <c r="O720" s="400"/>
      <c r="P720" s="400"/>
      <c r="Q720" s="400">
        <f>SUM(Tablo2[[#This Row],[Ocak]:[Aralık]])</f>
        <v>0</v>
      </c>
    </row>
    <row r="721" spans="1:23" x14ac:dyDescent="0.3">
      <c r="A721" s="538"/>
      <c r="B721" s="401" t="s">
        <v>19</v>
      </c>
      <c r="C721" s="57" t="s">
        <v>10</v>
      </c>
      <c r="D721" s="57" t="s">
        <v>19</v>
      </c>
      <c r="E721" s="399"/>
      <c r="F721" s="400"/>
      <c r="G721" s="400"/>
      <c r="H721" s="400"/>
      <c r="I721" s="400"/>
      <c r="J721" s="400"/>
      <c r="K721" s="400"/>
      <c r="L721" s="400"/>
      <c r="M721" s="400"/>
      <c r="N721" s="400"/>
      <c r="O721" s="400"/>
      <c r="P721" s="400"/>
      <c r="Q721" s="400">
        <f>SUM(Tablo2[[#This Row],[Ocak]:[Aralık]])</f>
        <v>0</v>
      </c>
    </row>
    <row r="722" spans="1:23" x14ac:dyDescent="0.3">
      <c r="A722" s="538"/>
      <c r="B722" s="401" t="s">
        <v>19</v>
      </c>
      <c r="C722" s="57" t="s">
        <v>10</v>
      </c>
      <c r="D722" s="57" t="s">
        <v>22</v>
      </c>
      <c r="E722" s="399"/>
      <c r="F722" s="400"/>
      <c r="G722" s="400"/>
      <c r="H722" s="400"/>
      <c r="I722" s="400"/>
      <c r="J722" s="400"/>
      <c r="K722" s="400"/>
      <c r="L722" s="400"/>
      <c r="M722" s="400"/>
      <c r="N722" s="400"/>
      <c r="O722" s="400"/>
      <c r="P722" s="400"/>
      <c r="Q722" s="400">
        <f>SUM(Tablo2[[#This Row],[Ocak]:[Aralık]])</f>
        <v>0</v>
      </c>
    </row>
    <row r="723" spans="1:23" x14ac:dyDescent="0.3">
      <c r="A723" s="538"/>
      <c r="B723" s="401" t="s">
        <v>19</v>
      </c>
      <c r="C723" s="57" t="s">
        <v>10</v>
      </c>
      <c r="D723" s="57" t="s">
        <v>25</v>
      </c>
      <c r="E723" s="399"/>
      <c r="F723" s="400"/>
      <c r="G723" s="400"/>
      <c r="H723" s="400"/>
      <c r="I723" s="400"/>
      <c r="J723" s="400"/>
      <c r="K723" s="400"/>
      <c r="L723" s="400"/>
      <c r="M723" s="400"/>
      <c r="N723" s="400"/>
      <c r="O723" s="400"/>
      <c r="P723" s="400"/>
      <c r="Q723" s="400">
        <f>SUM(Tablo2[[#This Row],[Ocak]:[Aralık]])</f>
        <v>0</v>
      </c>
    </row>
    <row r="724" spans="1:23" x14ac:dyDescent="0.3">
      <c r="A724" s="538"/>
      <c r="B724" s="401" t="s">
        <v>19</v>
      </c>
      <c r="C724" s="57" t="s">
        <v>10</v>
      </c>
      <c r="D724" s="57" t="s">
        <v>28</v>
      </c>
      <c r="E724" s="399"/>
      <c r="F724" s="400"/>
      <c r="G724" s="400"/>
      <c r="H724" s="400"/>
      <c r="I724" s="400"/>
      <c r="J724" s="400"/>
      <c r="K724" s="400"/>
      <c r="L724" s="400"/>
      <c r="M724" s="400"/>
      <c r="N724" s="400"/>
      <c r="O724" s="400"/>
      <c r="P724" s="400"/>
      <c r="Q724" s="400">
        <f>SUM(Tablo2[[#This Row],[Ocak]:[Aralık]])</f>
        <v>0</v>
      </c>
    </row>
    <row r="725" spans="1:23" x14ac:dyDescent="0.3">
      <c r="A725" s="538"/>
      <c r="B725" s="401" t="s">
        <v>19</v>
      </c>
      <c r="C725" s="57" t="s">
        <v>10</v>
      </c>
      <c r="D725" s="57" t="s">
        <v>31</v>
      </c>
      <c r="E725" s="399"/>
      <c r="F725" s="400"/>
      <c r="G725" s="400"/>
      <c r="H725" s="400"/>
      <c r="I725" s="400"/>
      <c r="J725" s="400"/>
      <c r="K725" s="400"/>
      <c r="L725" s="400"/>
      <c r="M725" s="400"/>
      <c r="N725" s="400"/>
      <c r="O725" s="400"/>
      <c r="P725" s="400"/>
      <c r="Q725" s="400">
        <f>SUM(Tablo2[[#This Row],[Ocak]:[Aralık]])</f>
        <v>0</v>
      </c>
    </row>
    <row r="726" spans="1:23" x14ac:dyDescent="0.3">
      <c r="A726" s="538"/>
      <c r="B726" s="401" t="s">
        <v>19</v>
      </c>
      <c r="C726" s="57" t="s">
        <v>10</v>
      </c>
      <c r="D726" s="57" t="s">
        <v>34</v>
      </c>
      <c r="E726" s="399"/>
      <c r="F726" s="400"/>
      <c r="G726" s="400"/>
      <c r="H726" s="400"/>
      <c r="I726" s="400"/>
      <c r="J726" s="400"/>
      <c r="K726" s="400"/>
      <c r="L726" s="400"/>
      <c r="M726" s="400"/>
      <c r="N726" s="400"/>
      <c r="O726" s="400"/>
      <c r="P726" s="400"/>
      <c r="Q726" s="400">
        <f>SUM(Tablo2[[#This Row],[Ocak]:[Aralık]])</f>
        <v>0</v>
      </c>
    </row>
    <row r="727" spans="1:23" x14ac:dyDescent="0.3">
      <c r="A727" s="538"/>
      <c r="B727" s="401" t="s">
        <v>19</v>
      </c>
      <c r="C727" s="57" t="s">
        <v>10</v>
      </c>
      <c r="D727" s="57" t="s">
        <v>37</v>
      </c>
      <c r="E727" s="399"/>
      <c r="F727" s="400"/>
      <c r="G727" s="400"/>
      <c r="H727" s="400"/>
      <c r="I727" s="400"/>
      <c r="J727" s="400"/>
      <c r="K727" s="400"/>
      <c r="L727" s="400"/>
      <c r="M727" s="400"/>
      <c r="N727" s="400"/>
      <c r="O727" s="400"/>
      <c r="P727" s="400"/>
      <c r="Q727" s="400">
        <f>SUM(Tablo2[[#This Row],[Ocak]:[Aralık]])</f>
        <v>0</v>
      </c>
    </row>
    <row r="728" spans="1:23" x14ac:dyDescent="0.3">
      <c r="A728" s="538"/>
      <c r="B728" s="401" t="s">
        <v>19</v>
      </c>
      <c r="C728" s="57" t="s">
        <v>10</v>
      </c>
      <c r="D728" s="57" t="s">
        <v>39</v>
      </c>
      <c r="E728" s="399"/>
      <c r="F728" s="400"/>
      <c r="G728" s="400"/>
      <c r="H728" s="400"/>
      <c r="I728" s="400"/>
      <c r="J728" s="400"/>
      <c r="K728" s="400"/>
      <c r="L728" s="400"/>
      <c r="M728" s="400"/>
      <c r="N728" s="400"/>
      <c r="O728" s="400"/>
      <c r="P728" s="400"/>
      <c r="Q728" s="400">
        <f>SUM(Tablo2[[#This Row],[Ocak]:[Aralık]])</f>
        <v>0</v>
      </c>
    </row>
    <row r="729" spans="1:23" x14ac:dyDescent="0.3">
      <c r="A729" s="538"/>
      <c r="B729" s="401" t="s">
        <v>19</v>
      </c>
      <c r="C729" s="57" t="s">
        <v>10</v>
      </c>
      <c r="D729" s="57" t="s">
        <v>42</v>
      </c>
      <c r="E729" s="399"/>
      <c r="F729" s="400"/>
      <c r="G729" s="400"/>
      <c r="H729" s="400"/>
      <c r="I729" s="400"/>
      <c r="J729" s="400"/>
      <c r="K729" s="400"/>
      <c r="L729" s="400"/>
      <c r="M729" s="400"/>
      <c r="N729" s="400"/>
      <c r="O729" s="400"/>
      <c r="P729" s="400"/>
      <c r="Q729" s="400">
        <f>SUM(Tablo2[[#This Row],[Ocak]:[Aralık]])</f>
        <v>0</v>
      </c>
    </row>
    <row r="730" spans="1:23" x14ac:dyDescent="0.3">
      <c r="A730" s="538"/>
      <c r="B730" s="401" t="s">
        <v>19</v>
      </c>
      <c r="C730" s="57" t="s">
        <v>10</v>
      </c>
      <c r="D730" s="57" t="s">
        <v>45</v>
      </c>
      <c r="E730" s="399"/>
      <c r="F730" s="400"/>
      <c r="G730" s="400"/>
      <c r="H730" s="400"/>
      <c r="I730" s="400"/>
      <c r="J730" s="400"/>
      <c r="K730" s="400"/>
      <c r="L730" s="400"/>
      <c r="M730" s="400"/>
      <c r="N730" s="400"/>
      <c r="O730" s="400"/>
      <c r="P730" s="400"/>
      <c r="Q730" s="400">
        <f>SUM(Tablo2[[#This Row],[Ocak]:[Aralık]])</f>
        <v>0</v>
      </c>
    </row>
    <row r="731" spans="1:23" x14ac:dyDescent="0.3">
      <c r="A731" s="538"/>
      <c r="B731" s="401" t="s">
        <v>19</v>
      </c>
      <c r="C731" s="57" t="s">
        <v>10</v>
      </c>
      <c r="D731" s="57" t="s">
        <v>48</v>
      </c>
      <c r="E731" s="399"/>
      <c r="F731" s="400"/>
      <c r="G731" s="400"/>
      <c r="H731" s="400"/>
      <c r="I731" s="400"/>
      <c r="J731" s="400"/>
      <c r="K731" s="400"/>
      <c r="L731" s="400"/>
      <c r="M731" s="400"/>
      <c r="N731" s="400"/>
      <c r="O731" s="400"/>
      <c r="P731" s="400"/>
      <c r="Q731" s="400">
        <f>SUM(Tablo2[[#This Row],[Ocak]:[Aralık]])</f>
        <v>0</v>
      </c>
    </row>
    <row r="732" spans="1:23" x14ac:dyDescent="0.3">
      <c r="A732" s="538"/>
      <c r="B732" s="401" t="s">
        <v>19</v>
      </c>
      <c r="C732" s="57" t="s">
        <v>10</v>
      </c>
      <c r="D732" s="57" t="s">
        <v>50</v>
      </c>
      <c r="E732" s="399"/>
      <c r="F732" s="400"/>
      <c r="G732" s="400"/>
      <c r="H732" s="400"/>
      <c r="I732" s="400"/>
      <c r="J732" s="400"/>
      <c r="K732" s="400"/>
      <c r="L732" s="400"/>
      <c r="M732" s="400"/>
      <c r="N732" s="400"/>
      <c r="O732" s="400"/>
      <c r="P732" s="400"/>
      <c r="Q732" s="400">
        <f>SUM(Tablo2[[#This Row],[Ocak]:[Aralık]])</f>
        <v>0</v>
      </c>
    </row>
    <row r="733" spans="1:23" x14ac:dyDescent="0.3">
      <c r="A733" s="54">
        <v>5</v>
      </c>
      <c r="B733" s="401" t="s">
        <v>19</v>
      </c>
      <c r="C733" s="57" t="s">
        <v>14</v>
      </c>
      <c r="D733" s="57"/>
      <c r="E733" s="399">
        <v>7270</v>
      </c>
      <c r="F733" s="400">
        <v>7636</v>
      </c>
      <c r="G733" s="400">
        <v>9020</v>
      </c>
      <c r="H733" s="400">
        <v>8620</v>
      </c>
      <c r="I733" s="400">
        <v>8265</v>
      </c>
      <c r="J733" s="400">
        <v>11600</v>
      </c>
      <c r="K733" s="400">
        <v>10075</v>
      </c>
      <c r="L733" s="400">
        <v>15780</v>
      </c>
      <c r="M733" s="400">
        <v>13998</v>
      </c>
      <c r="N733" s="400"/>
      <c r="O733" s="400"/>
      <c r="P733" s="400"/>
      <c r="Q733" s="400">
        <f>SUM(Tablo2[[#This Row],[Ocak]:[Aralık]])</f>
        <v>92264</v>
      </c>
    </row>
    <row r="734" spans="1:23" x14ac:dyDescent="0.25">
      <c r="A734" s="54">
        <v>6</v>
      </c>
      <c r="B734" s="401" t="s">
        <v>19</v>
      </c>
      <c r="C734" s="57" t="s">
        <v>18</v>
      </c>
      <c r="D734" s="57"/>
      <c r="E734" s="399">
        <v>765</v>
      </c>
      <c r="F734" s="400"/>
      <c r="G734" s="400">
        <v>300</v>
      </c>
      <c r="H734" s="400"/>
      <c r="I734" s="400">
        <v>285</v>
      </c>
      <c r="J734" s="400"/>
      <c r="K734" s="400">
        <v>30</v>
      </c>
      <c r="L734" s="400"/>
      <c r="M734" s="400"/>
      <c r="N734" s="400"/>
      <c r="O734" s="400"/>
      <c r="P734" s="400"/>
      <c r="Q734" s="400">
        <f>SUM(Tablo2[[#This Row],[Ocak]:[Aralık]])</f>
        <v>1380</v>
      </c>
      <c r="U734" s="449"/>
      <c r="V734" s="370"/>
      <c r="W734" s="419"/>
    </row>
    <row r="735" spans="1:23" x14ac:dyDescent="0.25">
      <c r="A735" s="54">
        <v>7</v>
      </c>
      <c r="B735" s="401" t="s">
        <v>19</v>
      </c>
      <c r="C735" s="57" t="s">
        <v>21</v>
      </c>
      <c r="D735" s="57"/>
      <c r="E735" s="399"/>
      <c r="F735" s="400"/>
      <c r="G735" s="400">
        <v>150</v>
      </c>
      <c r="H735" s="400">
        <v>120</v>
      </c>
      <c r="I735" s="400">
        <v>190</v>
      </c>
      <c r="J735" s="400">
        <v>165</v>
      </c>
      <c r="K735" s="400">
        <v>65</v>
      </c>
      <c r="L735" s="400"/>
      <c r="M735" s="400">
        <v>90</v>
      </c>
      <c r="N735" s="400"/>
      <c r="O735" s="400"/>
      <c r="P735" s="400"/>
      <c r="Q735" s="400">
        <f>SUM(Tablo2[[#This Row],[Ocak]:[Aralık]])</f>
        <v>780</v>
      </c>
      <c r="U735" s="449"/>
      <c r="V735" s="370"/>
      <c r="W735" s="419"/>
    </row>
    <row r="736" spans="1:23" x14ac:dyDescent="0.25">
      <c r="A736" s="54">
        <v>8</v>
      </c>
      <c r="B736" s="401" t="s">
        <v>19</v>
      </c>
      <c r="C736" s="57" t="s">
        <v>24</v>
      </c>
      <c r="D736" s="57"/>
      <c r="E736" s="399">
        <v>1295</v>
      </c>
      <c r="F736" s="400">
        <v>1371</v>
      </c>
      <c r="G736" s="400">
        <v>1590</v>
      </c>
      <c r="H736" s="400">
        <v>1695</v>
      </c>
      <c r="I736" s="400">
        <v>1790</v>
      </c>
      <c r="J736" s="400">
        <v>2465</v>
      </c>
      <c r="K736" s="400">
        <v>2045</v>
      </c>
      <c r="L736" s="400">
        <v>2807</v>
      </c>
      <c r="M736" s="400">
        <v>2895</v>
      </c>
      <c r="N736" s="400"/>
      <c r="O736" s="400"/>
      <c r="P736" s="400"/>
      <c r="Q736" s="400">
        <f>SUM(Tablo2[[#This Row],[Ocak]:[Aralık]])</f>
        <v>17953</v>
      </c>
      <c r="U736" s="449"/>
      <c r="V736" s="370"/>
      <c r="W736" s="419"/>
    </row>
    <row r="737" spans="1:23" x14ac:dyDescent="0.25">
      <c r="A737" s="54">
        <v>9</v>
      </c>
      <c r="B737" s="401" t="s">
        <v>19</v>
      </c>
      <c r="C737" s="57" t="s">
        <v>27</v>
      </c>
      <c r="D737" s="57"/>
      <c r="E737" s="399"/>
      <c r="F737" s="400"/>
      <c r="G737" s="400">
        <v>15</v>
      </c>
      <c r="H737" s="400">
        <v>35</v>
      </c>
      <c r="I737" s="400"/>
      <c r="J737" s="400">
        <v>15</v>
      </c>
      <c r="K737" s="400"/>
      <c r="L737" s="400"/>
      <c r="M737" s="400">
        <v>10</v>
      </c>
      <c r="N737" s="400"/>
      <c r="O737" s="400"/>
      <c r="P737" s="400"/>
      <c r="Q737" s="400">
        <f>SUM(Tablo2[[#This Row],[Ocak]:[Aralık]])</f>
        <v>75</v>
      </c>
      <c r="U737" s="449"/>
      <c r="V737" s="370"/>
      <c r="W737" s="419"/>
    </row>
    <row r="738" spans="1:23" x14ac:dyDescent="0.25">
      <c r="A738" s="54">
        <v>10</v>
      </c>
      <c r="B738" s="401" t="s">
        <v>19</v>
      </c>
      <c r="C738" s="57" t="s">
        <v>30</v>
      </c>
      <c r="D738" s="57"/>
      <c r="E738" s="399">
        <v>395</v>
      </c>
      <c r="F738" s="400">
        <v>100</v>
      </c>
      <c r="G738" s="400">
        <v>220</v>
      </c>
      <c r="H738" s="400">
        <v>365</v>
      </c>
      <c r="I738" s="400">
        <v>185</v>
      </c>
      <c r="J738" s="400">
        <v>345</v>
      </c>
      <c r="K738" s="419">
        <v>55</v>
      </c>
      <c r="L738" s="400">
        <v>325</v>
      </c>
      <c r="M738" s="400">
        <v>330</v>
      </c>
      <c r="N738" s="400"/>
      <c r="O738" s="400"/>
      <c r="P738" s="400"/>
      <c r="Q738" s="400">
        <f>SUM(Tablo2[[#This Row],[Ocak]:[Aralık]])</f>
        <v>2320</v>
      </c>
      <c r="U738" s="449"/>
      <c r="V738" s="370"/>
      <c r="W738" s="419"/>
    </row>
    <row r="739" spans="1:23" x14ac:dyDescent="0.25">
      <c r="A739" s="54">
        <v>11</v>
      </c>
      <c r="B739" s="401" t="s">
        <v>19</v>
      </c>
      <c r="C739" s="57" t="s">
        <v>33</v>
      </c>
      <c r="D739" s="57"/>
      <c r="E739" s="399">
        <v>375</v>
      </c>
      <c r="F739" s="400">
        <v>345</v>
      </c>
      <c r="G739" s="400">
        <v>330</v>
      </c>
      <c r="H739" s="400">
        <v>535</v>
      </c>
      <c r="I739" s="400">
        <v>455</v>
      </c>
      <c r="J739" s="400">
        <v>940</v>
      </c>
      <c r="K739" s="419">
        <v>465</v>
      </c>
      <c r="L739" s="400">
        <v>665</v>
      </c>
      <c r="M739" s="400">
        <v>715</v>
      </c>
      <c r="N739" s="400"/>
      <c r="O739" s="400"/>
      <c r="P739" s="400"/>
      <c r="Q739" s="400">
        <f>SUM(Tablo2[[#This Row],[Ocak]:[Aralık]])</f>
        <v>4825</v>
      </c>
      <c r="U739" s="449"/>
      <c r="V739" s="370"/>
      <c r="W739" s="419"/>
    </row>
    <row r="740" spans="1:23" x14ac:dyDescent="0.25">
      <c r="A740" s="54">
        <v>12</v>
      </c>
      <c r="B740" s="401" t="s">
        <v>19</v>
      </c>
      <c r="C740" s="57" t="s">
        <v>36</v>
      </c>
      <c r="D740" s="57"/>
      <c r="E740" s="399">
        <v>2025</v>
      </c>
      <c r="F740" s="400">
        <v>1840</v>
      </c>
      <c r="G740" s="400">
        <v>1890</v>
      </c>
      <c r="H740" s="400">
        <v>2020</v>
      </c>
      <c r="I740" s="400">
        <v>2165</v>
      </c>
      <c r="J740" s="400">
        <v>3535</v>
      </c>
      <c r="K740" s="419">
        <v>2460</v>
      </c>
      <c r="L740" s="400">
        <v>3015</v>
      </c>
      <c r="M740" s="400">
        <v>3360</v>
      </c>
      <c r="N740" s="400"/>
      <c r="O740" s="400"/>
      <c r="P740" s="400"/>
      <c r="Q740" s="400">
        <f>SUM(Tablo2[[#This Row],[Ocak]:[Aralık]])</f>
        <v>22310</v>
      </c>
      <c r="U740" s="449"/>
      <c r="V740" s="370"/>
      <c r="W740" s="419"/>
    </row>
    <row r="741" spans="1:23" x14ac:dyDescent="0.25">
      <c r="A741" s="54">
        <v>13</v>
      </c>
      <c r="B741" s="401" t="s">
        <v>19</v>
      </c>
      <c r="C741" s="57" t="s">
        <v>38</v>
      </c>
      <c r="D741" s="57"/>
      <c r="E741" s="399">
        <v>220</v>
      </c>
      <c r="F741" s="400">
        <v>315</v>
      </c>
      <c r="G741" s="400">
        <v>195</v>
      </c>
      <c r="H741" s="400">
        <v>525</v>
      </c>
      <c r="I741" s="400">
        <v>485</v>
      </c>
      <c r="J741" s="400">
        <v>845</v>
      </c>
      <c r="K741" s="419">
        <v>625</v>
      </c>
      <c r="L741" s="400">
        <v>850</v>
      </c>
      <c r="M741" s="400">
        <v>925</v>
      </c>
      <c r="N741" s="400"/>
      <c r="O741" s="400"/>
      <c r="P741" s="400"/>
      <c r="Q741" s="400">
        <f>SUM(Tablo2[[#This Row],[Ocak]:[Aralık]])</f>
        <v>4985</v>
      </c>
      <c r="U741" s="449"/>
      <c r="V741" s="370"/>
      <c r="W741" s="419"/>
    </row>
    <row r="742" spans="1:23" x14ac:dyDescent="0.25">
      <c r="A742" s="54">
        <v>14</v>
      </c>
      <c r="B742" s="401" t="s">
        <v>19</v>
      </c>
      <c r="C742" s="57" t="s">
        <v>41</v>
      </c>
      <c r="D742" s="57"/>
      <c r="E742" s="399">
        <v>30</v>
      </c>
      <c r="F742" s="400">
        <v>80</v>
      </c>
      <c r="G742" s="400"/>
      <c r="H742" s="400"/>
      <c r="I742" s="400">
        <v>75</v>
      </c>
      <c r="J742" s="400">
        <v>15</v>
      </c>
      <c r="K742" s="400"/>
      <c r="L742" s="400"/>
      <c r="M742" s="400"/>
      <c r="N742" s="400"/>
      <c r="O742" s="400"/>
      <c r="P742" s="400"/>
      <c r="Q742" s="400">
        <f>SUM(Tablo2[[#This Row],[Ocak]:[Aralık]])</f>
        <v>200</v>
      </c>
      <c r="U742" s="449"/>
      <c r="V742" s="370"/>
      <c r="W742" s="419"/>
    </row>
    <row r="743" spans="1:23" x14ac:dyDescent="0.25">
      <c r="A743" s="54">
        <v>15</v>
      </c>
      <c r="B743" s="401" t="s">
        <v>19</v>
      </c>
      <c r="C743" s="57" t="s">
        <v>44</v>
      </c>
      <c r="D743" s="57"/>
      <c r="E743" s="399">
        <v>50</v>
      </c>
      <c r="F743" s="400">
        <v>15</v>
      </c>
      <c r="G743" s="400">
        <v>15</v>
      </c>
      <c r="H743" s="400">
        <v>85</v>
      </c>
      <c r="I743" s="400"/>
      <c r="J743" s="400">
        <v>155</v>
      </c>
      <c r="K743" s="419">
        <v>15</v>
      </c>
      <c r="L743" s="400">
        <v>45</v>
      </c>
      <c r="M743" s="400"/>
      <c r="N743" s="400"/>
      <c r="O743" s="400"/>
      <c r="P743" s="400"/>
      <c r="Q743" s="400">
        <f>SUM(Tablo2[[#This Row],[Ocak]:[Aralık]])</f>
        <v>380</v>
      </c>
      <c r="U743" s="449"/>
      <c r="V743" s="370"/>
      <c r="W743" s="419"/>
    </row>
    <row r="744" spans="1:23" x14ac:dyDescent="0.25">
      <c r="A744" s="54">
        <v>16</v>
      </c>
      <c r="B744" s="401" t="s">
        <v>19</v>
      </c>
      <c r="C744" s="57" t="s">
        <v>47</v>
      </c>
      <c r="D744" s="57"/>
      <c r="E744" s="399">
        <v>490</v>
      </c>
      <c r="F744" s="400">
        <v>480</v>
      </c>
      <c r="G744" s="400">
        <v>220</v>
      </c>
      <c r="H744" s="400">
        <v>170</v>
      </c>
      <c r="I744" s="400">
        <v>105</v>
      </c>
      <c r="J744" s="400">
        <v>255</v>
      </c>
      <c r="K744" s="419">
        <v>185</v>
      </c>
      <c r="L744" s="400">
        <v>295</v>
      </c>
      <c r="M744" s="400">
        <v>385</v>
      </c>
      <c r="N744" s="400"/>
      <c r="O744" s="400"/>
      <c r="P744" s="400"/>
      <c r="Q744" s="400">
        <f>SUM(Tablo2[[#This Row],[Ocak]:[Aralık]])</f>
        <v>2585</v>
      </c>
      <c r="U744" s="449"/>
      <c r="V744" s="370"/>
      <c r="W744" s="419"/>
    </row>
    <row r="745" spans="1:23" x14ac:dyDescent="0.25">
      <c r="A745" s="54">
        <v>17</v>
      </c>
      <c r="B745" s="401" t="s">
        <v>19</v>
      </c>
      <c r="C745" s="57" t="s">
        <v>49</v>
      </c>
      <c r="D745" s="57"/>
      <c r="E745" s="399">
        <v>30</v>
      </c>
      <c r="F745" s="400">
        <v>160</v>
      </c>
      <c r="G745" s="400"/>
      <c r="H745" s="400"/>
      <c r="I745" s="400"/>
      <c r="J745" s="400"/>
      <c r="K745" s="400"/>
      <c r="L745" s="400"/>
      <c r="M745" s="400"/>
      <c r="N745" s="400"/>
      <c r="O745" s="400"/>
      <c r="P745" s="400"/>
      <c r="Q745" s="400">
        <f>SUM(Tablo2[[#This Row],[Ocak]:[Aralık]])</f>
        <v>190</v>
      </c>
      <c r="U745" s="449"/>
      <c r="V745" s="370"/>
      <c r="W745" s="419"/>
    </row>
    <row r="746" spans="1:23" x14ac:dyDescent="0.25">
      <c r="A746" s="54">
        <v>18</v>
      </c>
      <c r="B746" s="401" t="s">
        <v>19</v>
      </c>
      <c r="C746" s="57" t="s">
        <v>51</v>
      </c>
      <c r="D746" s="57"/>
      <c r="E746" s="399"/>
      <c r="F746" s="400"/>
      <c r="G746" s="400"/>
      <c r="H746" s="400"/>
      <c r="I746" s="400"/>
      <c r="J746" s="400"/>
      <c r="K746" s="400"/>
      <c r="L746" s="400"/>
      <c r="M746" s="400"/>
      <c r="N746" s="400"/>
      <c r="O746" s="400"/>
      <c r="P746" s="400"/>
      <c r="Q746" s="400">
        <f>SUM(Tablo2[[#This Row],[Ocak]:[Aralık]])</f>
        <v>0</v>
      </c>
      <c r="U746" s="449"/>
      <c r="V746" s="370"/>
      <c r="W746" s="419"/>
    </row>
    <row r="747" spans="1:23" x14ac:dyDescent="0.3">
      <c r="A747" s="54">
        <v>19</v>
      </c>
      <c r="B747" s="401" t="s">
        <v>19</v>
      </c>
      <c r="C747" s="57" t="s">
        <v>52</v>
      </c>
      <c r="D747" s="57"/>
      <c r="E747" s="399"/>
      <c r="F747" s="400"/>
      <c r="G747" s="400"/>
      <c r="H747" s="400"/>
      <c r="I747" s="400"/>
      <c r="J747" s="400"/>
      <c r="K747" s="400"/>
      <c r="L747" s="400"/>
      <c r="M747" s="400"/>
      <c r="N747" s="400"/>
      <c r="O747" s="400"/>
      <c r="P747" s="400"/>
      <c r="Q747" s="400">
        <f>SUM(Tablo2[[#This Row],[Ocak]:[Aralık]])</f>
        <v>0</v>
      </c>
    </row>
    <row r="748" spans="1:23" x14ac:dyDescent="0.3">
      <c r="A748" s="54">
        <v>20</v>
      </c>
      <c r="B748" s="401" t="s">
        <v>19</v>
      </c>
      <c r="C748" s="57" t="s">
        <v>53</v>
      </c>
      <c r="D748" s="57"/>
      <c r="E748" s="399"/>
      <c r="F748" s="400">
        <v>20</v>
      </c>
      <c r="G748" s="400">
        <v>30</v>
      </c>
      <c r="H748" s="400">
        <v>240</v>
      </c>
      <c r="I748" s="400">
        <v>10</v>
      </c>
      <c r="J748" s="400"/>
      <c r="K748" s="400"/>
      <c r="L748" s="400">
        <v>430</v>
      </c>
      <c r="M748" s="400">
        <v>45</v>
      </c>
      <c r="N748" s="400"/>
      <c r="O748" s="400"/>
      <c r="P748" s="400"/>
      <c r="Q748" s="400">
        <f>SUM(Tablo2[[#This Row],[Ocak]:[Aralık]])</f>
        <v>775</v>
      </c>
    </row>
    <row r="749" spans="1:23" x14ac:dyDescent="0.3">
      <c r="A749" s="54">
        <v>21</v>
      </c>
      <c r="B749" s="401" t="s">
        <v>19</v>
      </c>
      <c r="C749" s="57" t="s">
        <v>54</v>
      </c>
      <c r="D749" s="57"/>
      <c r="E749" s="399">
        <v>60</v>
      </c>
      <c r="F749" s="400"/>
      <c r="G749" s="400">
        <v>100</v>
      </c>
      <c r="H749" s="400">
        <v>2340</v>
      </c>
      <c r="I749" s="400"/>
      <c r="J749" s="400">
        <v>120</v>
      </c>
      <c r="K749" s="400"/>
      <c r="L749" s="400">
        <v>780</v>
      </c>
      <c r="M749" s="400"/>
      <c r="N749" s="400"/>
      <c r="O749" s="400"/>
      <c r="P749" s="400"/>
      <c r="Q749" s="400">
        <f>SUM(Tablo2[[#This Row],[Ocak]:[Aralık]])</f>
        <v>3400</v>
      </c>
    </row>
    <row r="750" spans="1:23" x14ac:dyDescent="0.3">
      <c r="A750" s="54">
        <v>22</v>
      </c>
      <c r="B750" s="401" t="s">
        <v>19</v>
      </c>
      <c r="C750" s="57" t="s">
        <v>55</v>
      </c>
      <c r="D750" s="57"/>
      <c r="E750" s="399">
        <v>2975</v>
      </c>
      <c r="F750" s="400">
        <v>3535</v>
      </c>
      <c r="G750" s="400">
        <v>3910</v>
      </c>
      <c r="H750" s="400">
        <v>4155</v>
      </c>
      <c r="I750" s="400">
        <v>3540</v>
      </c>
      <c r="J750" s="400">
        <v>3327</v>
      </c>
      <c r="K750" s="400">
        <f>1295+1280</f>
        <v>2575</v>
      </c>
      <c r="L750" s="400">
        <v>5150</v>
      </c>
      <c r="M750" s="400">
        <v>3790</v>
      </c>
      <c r="N750" s="400"/>
      <c r="O750" s="400"/>
      <c r="P750" s="400"/>
      <c r="Q750" s="400">
        <f>SUM(Tablo2[[#This Row],[Ocak]:[Aralık]])</f>
        <v>32957</v>
      </c>
    </row>
    <row r="751" spans="1:23" x14ac:dyDescent="0.3">
      <c r="A751" s="54">
        <v>23</v>
      </c>
      <c r="B751" s="401" t="s">
        <v>19</v>
      </c>
      <c r="C751" s="57" t="s">
        <v>56</v>
      </c>
      <c r="D751" s="57"/>
      <c r="E751" s="399"/>
      <c r="F751" s="400"/>
      <c r="G751" s="400"/>
      <c r="H751" s="400"/>
      <c r="I751" s="400"/>
      <c r="J751" s="400"/>
      <c r="K751" s="400"/>
      <c r="L751" s="400"/>
      <c r="M751" s="400"/>
      <c r="N751" s="400"/>
      <c r="O751" s="400"/>
      <c r="P751" s="400"/>
      <c r="Q751" s="400">
        <f>SUM(Tablo2[[#This Row],[Ocak]:[Aralık]])</f>
        <v>0</v>
      </c>
    </row>
    <row r="752" spans="1:23" x14ac:dyDescent="0.3">
      <c r="A752" s="54">
        <v>24</v>
      </c>
      <c r="B752" s="401" t="s">
        <v>19</v>
      </c>
      <c r="C752" s="57" t="s">
        <v>57</v>
      </c>
      <c r="D752" s="57"/>
      <c r="E752" s="399"/>
      <c r="F752" s="400">
        <v>30</v>
      </c>
      <c r="G752" s="400">
        <v>120</v>
      </c>
      <c r="H752" s="400"/>
      <c r="I752" s="400"/>
      <c r="J752" s="400"/>
      <c r="K752" s="400">
        <v>240</v>
      </c>
      <c r="L752" s="400">
        <v>240</v>
      </c>
      <c r="M752" s="400"/>
      <c r="N752" s="400"/>
      <c r="O752" s="400"/>
      <c r="P752" s="400"/>
      <c r="Q752" s="400">
        <f>SUM(Tablo2[[#This Row],[Ocak]:[Aralık]])</f>
        <v>630</v>
      </c>
    </row>
    <row r="753" spans="1:23" ht="14.4" x14ac:dyDescent="0.3">
      <c r="A753" s="538">
        <v>1</v>
      </c>
      <c r="B753" s="27" t="s">
        <v>1014</v>
      </c>
      <c r="C753" s="430" t="s">
        <v>6</v>
      </c>
      <c r="D753" s="430" t="s">
        <v>7</v>
      </c>
      <c r="E753" s="210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>
        <f>SUM(Tablo2[[#This Row],[Ocak]:[Aralık]])</f>
        <v>0</v>
      </c>
    </row>
    <row r="754" spans="1:23" ht="14.4" x14ac:dyDescent="0.3">
      <c r="A754" s="538"/>
      <c r="B754" s="27" t="s">
        <v>1014</v>
      </c>
      <c r="C754" s="430" t="s">
        <v>6</v>
      </c>
      <c r="D754" s="430" t="s">
        <v>11</v>
      </c>
      <c r="E754" s="210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>
        <f>SUM(Tablo2[[#This Row],[Ocak]:[Aralık]])</f>
        <v>0</v>
      </c>
    </row>
    <row r="755" spans="1:23" ht="21.75" customHeight="1" x14ac:dyDescent="0.3">
      <c r="A755" s="538"/>
      <c r="B755" s="27" t="s">
        <v>1014</v>
      </c>
      <c r="C755" s="430" t="s">
        <v>6</v>
      </c>
      <c r="D755" s="430" t="s">
        <v>15</v>
      </c>
      <c r="E755" s="210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>
        <f>SUM(Tablo2[[#This Row],[Ocak]:[Aralık]])</f>
        <v>0</v>
      </c>
      <c r="U755" s="151"/>
      <c r="V755" s="151"/>
      <c r="W755" s="151"/>
    </row>
    <row r="756" spans="1:23" ht="14.4" x14ac:dyDescent="0.3">
      <c r="A756" s="538"/>
      <c r="B756" s="27" t="s">
        <v>1014</v>
      </c>
      <c r="C756" s="430" t="s">
        <v>6</v>
      </c>
      <c r="D756" s="430" t="s">
        <v>19</v>
      </c>
      <c r="E756" s="210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>
        <f>SUM(Tablo2[[#This Row],[Ocak]:[Aralık]])</f>
        <v>0</v>
      </c>
      <c r="U756" s="151"/>
      <c r="V756" s="151"/>
      <c r="W756" s="151"/>
    </row>
    <row r="757" spans="1:23" ht="14.4" x14ac:dyDescent="0.3">
      <c r="A757" s="538"/>
      <c r="B757" s="27" t="s">
        <v>1014</v>
      </c>
      <c r="C757" s="430" t="s">
        <v>6</v>
      </c>
      <c r="D757" s="430" t="s">
        <v>22</v>
      </c>
      <c r="E757" s="210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>
        <f>SUM(Tablo2[[#This Row],[Ocak]:[Aralık]])</f>
        <v>0</v>
      </c>
      <c r="U757" s="151"/>
      <c r="V757" s="151"/>
      <c r="W757" s="151"/>
    </row>
    <row r="758" spans="1:23" ht="14.4" x14ac:dyDescent="0.3">
      <c r="A758" s="538"/>
      <c r="B758" s="27" t="s">
        <v>1014</v>
      </c>
      <c r="C758" s="430" t="s">
        <v>6</v>
      </c>
      <c r="D758" s="430" t="s">
        <v>25</v>
      </c>
      <c r="E758" s="210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>
        <f>SUM(Tablo2[[#This Row],[Ocak]:[Aralık]])</f>
        <v>0</v>
      </c>
      <c r="U758" s="151"/>
      <c r="V758" s="151"/>
      <c r="W758" s="151"/>
    </row>
    <row r="759" spans="1:23" ht="14.4" x14ac:dyDescent="0.3">
      <c r="A759" s="538"/>
      <c r="B759" s="27" t="s">
        <v>1014</v>
      </c>
      <c r="C759" s="430" t="s">
        <v>6</v>
      </c>
      <c r="D759" s="430" t="s">
        <v>28</v>
      </c>
      <c r="E759" s="210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>
        <f>SUM(Tablo2[[#This Row],[Ocak]:[Aralık]])</f>
        <v>0</v>
      </c>
      <c r="U759" s="151"/>
      <c r="V759" s="151"/>
      <c r="W759" s="151"/>
    </row>
    <row r="760" spans="1:23" ht="15.75" customHeight="1" x14ac:dyDescent="0.3">
      <c r="A760" s="538"/>
      <c r="B760" s="27" t="s">
        <v>1014</v>
      </c>
      <c r="C760" s="430" t="s">
        <v>6</v>
      </c>
      <c r="D760" s="430" t="s">
        <v>31</v>
      </c>
      <c r="E760" s="210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>
        <f>SUM(Tablo2[[#This Row],[Ocak]:[Aralık]])</f>
        <v>0</v>
      </c>
      <c r="U760" s="151"/>
      <c r="V760" s="151"/>
      <c r="W760" s="151"/>
    </row>
    <row r="761" spans="1:23" ht="14.4" x14ac:dyDescent="0.3">
      <c r="A761" s="538"/>
      <c r="B761" s="27" t="s">
        <v>1014</v>
      </c>
      <c r="C761" s="430" t="s">
        <v>6</v>
      </c>
      <c r="D761" s="430" t="s">
        <v>34</v>
      </c>
      <c r="E761" s="210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>
        <f>SUM(Tablo2[[#This Row],[Ocak]:[Aralık]])</f>
        <v>0</v>
      </c>
      <c r="U761" s="151"/>
      <c r="V761" s="151"/>
      <c r="W761" s="151"/>
    </row>
    <row r="762" spans="1:23" ht="14.4" x14ac:dyDescent="0.3">
      <c r="A762" s="538"/>
      <c r="B762" s="27" t="s">
        <v>1014</v>
      </c>
      <c r="C762" s="430" t="s">
        <v>6</v>
      </c>
      <c r="D762" s="430" t="s">
        <v>37</v>
      </c>
      <c r="E762" s="210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>
        <f>SUM(Tablo2[[#This Row],[Ocak]:[Aralık]])</f>
        <v>0</v>
      </c>
      <c r="U762" s="151"/>
      <c r="V762" s="151"/>
      <c r="W762" s="151"/>
    </row>
    <row r="763" spans="1:23" ht="14.4" x14ac:dyDescent="0.3">
      <c r="A763" s="538"/>
      <c r="B763" s="27" t="s">
        <v>1014</v>
      </c>
      <c r="C763" s="430" t="s">
        <v>6</v>
      </c>
      <c r="D763" s="430" t="s">
        <v>39</v>
      </c>
      <c r="E763" s="210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>
        <f>SUM(Tablo2[[#This Row],[Ocak]:[Aralık]])</f>
        <v>0</v>
      </c>
      <c r="U763" s="151"/>
      <c r="V763" s="151"/>
      <c r="W763" s="151"/>
    </row>
    <row r="764" spans="1:23" ht="14.4" x14ac:dyDescent="0.3">
      <c r="A764" s="538"/>
      <c r="B764" s="27" t="s">
        <v>1014</v>
      </c>
      <c r="C764" s="430" t="s">
        <v>6</v>
      </c>
      <c r="D764" s="430" t="s">
        <v>42</v>
      </c>
      <c r="E764" s="210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>
        <f>SUM(Tablo2[[#This Row],[Ocak]:[Aralık]])</f>
        <v>0</v>
      </c>
      <c r="U764" s="151"/>
      <c r="V764" s="151"/>
      <c r="W764" s="151"/>
    </row>
    <row r="765" spans="1:23" ht="15.75" customHeight="1" x14ac:dyDescent="0.3">
      <c r="A765" s="538"/>
      <c r="B765" s="27" t="s">
        <v>1014</v>
      </c>
      <c r="C765" s="430" t="s">
        <v>6</v>
      </c>
      <c r="D765" s="430" t="s">
        <v>45</v>
      </c>
      <c r="E765" s="210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>
        <f>SUM(Tablo2[[#This Row],[Ocak]:[Aralık]])</f>
        <v>0</v>
      </c>
      <c r="U765" s="151"/>
      <c r="V765" s="151"/>
      <c r="W765" s="151"/>
    </row>
    <row r="766" spans="1:23" ht="14.4" x14ac:dyDescent="0.3">
      <c r="A766" s="538"/>
      <c r="B766" s="27" t="s">
        <v>1014</v>
      </c>
      <c r="C766" s="430" t="s">
        <v>6</v>
      </c>
      <c r="D766" s="430" t="s">
        <v>48</v>
      </c>
      <c r="E766" s="210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>
        <f>SUM(Tablo2[[#This Row],[Ocak]:[Aralık]])</f>
        <v>0</v>
      </c>
      <c r="U766" s="151"/>
      <c r="V766" s="151"/>
      <c r="W766" s="151"/>
    </row>
    <row r="767" spans="1:23" ht="14.4" x14ac:dyDescent="0.3">
      <c r="A767" s="538"/>
      <c r="B767" s="27" t="s">
        <v>1014</v>
      </c>
      <c r="C767" s="430" t="s">
        <v>6</v>
      </c>
      <c r="D767" s="430" t="s">
        <v>50</v>
      </c>
      <c r="E767" s="210"/>
      <c r="F767" s="108"/>
      <c r="G767" s="108"/>
      <c r="H767" s="108"/>
      <c r="I767" s="108"/>
      <c r="J767" s="108"/>
      <c r="K767" s="108">
        <v>55</v>
      </c>
      <c r="L767" s="108">
        <v>260</v>
      </c>
      <c r="M767" s="108">
        <v>110</v>
      </c>
      <c r="N767" s="108"/>
      <c r="O767" s="108"/>
      <c r="P767" s="108"/>
      <c r="Q767" s="108">
        <f>SUM(Tablo2[[#This Row],[Ocak]:[Aralık]])</f>
        <v>425</v>
      </c>
      <c r="U767" s="151"/>
      <c r="V767" s="151"/>
      <c r="W767" s="151"/>
    </row>
    <row r="768" spans="1:23" ht="14.4" x14ac:dyDescent="0.3">
      <c r="A768" s="538">
        <v>2</v>
      </c>
      <c r="B768" s="27" t="s">
        <v>1014</v>
      </c>
      <c r="C768" s="430" t="s">
        <v>10</v>
      </c>
      <c r="D768" s="430" t="s">
        <v>7</v>
      </c>
      <c r="E768" s="210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>
        <f>SUM(Tablo2[[#This Row],[Ocak]:[Aralık]])</f>
        <v>0</v>
      </c>
      <c r="U768" s="151"/>
      <c r="V768" s="151"/>
      <c r="W768" s="151"/>
    </row>
    <row r="769" spans="1:23" ht="14.4" x14ac:dyDescent="0.3">
      <c r="A769" s="538"/>
      <c r="B769" s="27" t="s">
        <v>1014</v>
      </c>
      <c r="C769" s="430" t="s">
        <v>10</v>
      </c>
      <c r="D769" s="430" t="s">
        <v>11</v>
      </c>
      <c r="E769" s="210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>
        <f>SUM(Tablo2[[#This Row],[Ocak]:[Aralık]])</f>
        <v>0</v>
      </c>
      <c r="U769" s="151"/>
      <c r="V769" s="151"/>
      <c r="W769" s="151"/>
    </row>
    <row r="770" spans="1:23" ht="21.75" customHeight="1" x14ac:dyDescent="0.3">
      <c r="A770" s="538"/>
      <c r="B770" s="27" t="s">
        <v>1014</v>
      </c>
      <c r="C770" s="430" t="s">
        <v>10</v>
      </c>
      <c r="D770" s="430" t="s">
        <v>15</v>
      </c>
      <c r="E770" s="210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>
        <f>SUM(Tablo2[[#This Row],[Ocak]:[Aralık]])</f>
        <v>0</v>
      </c>
      <c r="U770" s="151"/>
      <c r="V770" s="151"/>
      <c r="W770" s="151"/>
    </row>
    <row r="771" spans="1:23" ht="14.4" x14ac:dyDescent="0.3">
      <c r="A771" s="538"/>
      <c r="B771" s="27" t="s">
        <v>1014</v>
      </c>
      <c r="C771" s="430" t="s">
        <v>10</v>
      </c>
      <c r="D771" s="430" t="s">
        <v>19</v>
      </c>
      <c r="E771" s="210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>
        <f>SUM(Tablo2[[#This Row],[Ocak]:[Aralık]])</f>
        <v>0</v>
      </c>
      <c r="U771" s="151"/>
      <c r="V771" s="151"/>
      <c r="W771" s="151"/>
    </row>
    <row r="772" spans="1:23" ht="14.4" x14ac:dyDescent="0.3">
      <c r="A772" s="538"/>
      <c r="B772" s="27" t="s">
        <v>1014</v>
      </c>
      <c r="C772" s="430" t="s">
        <v>10</v>
      </c>
      <c r="D772" s="430" t="s">
        <v>22</v>
      </c>
      <c r="E772" s="210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>
        <f>SUM(Tablo2[[#This Row],[Ocak]:[Aralık]])</f>
        <v>0</v>
      </c>
      <c r="U772" s="151"/>
      <c r="V772" s="151"/>
      <c r="W772" s="151"/>
    </row>
    <row r="773" spans="1:23" ht="14.4" x14ac:dyDescent="0.3">
      <c r="A773" s="538"/>
      <c r="B773" s="27" t="s">
        <v>1014</v>
      </c>
      <c r="C773" s="430" t="s">
        <v>10</v>
      </c>
      <c r="D773" s="430" t="s">
        <v>25</v>
      </c>
      <c r="E773" s="210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>
        <f>SUM(Tablo2[[#This Row],[Ocak]:[Aralık]])</f>
        <v>0</v>
      </c>
      <c r="U773" s="151"/>
      <c r="V773" s="151"/>
      <c r="W773" s="151"/>
    </row>
    <row r="774" spans="1:23" ht="14.4" x14ac:dyDescent="0.3">
      <c r="A774" s="538"/>
      <c r="B774" s="27" t="s">
        <v>1014</v>
      </c>
      <c r="C774" s="430" t="s">
        <v>10</v>
      </c>
      <c r="D774" s="430" t="s">
        <v>28</v>
      </c>
      <c r="E774" s="210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>
        <f>SUM(Tablo2[[#This Row],[Ocak]:[Aralık]])</f>
        <v>0</v>
      </c>
      <c r="U774" s="151"/>
      <c r="V774" s="151"/>
      <c r="W774" s="151"/>
    </row>
    <row r="775" spans="1:23" ht="15.75" customHeight="1" x14ac:dyDescent="0.3">
      <c r="A775" s="538"/>
      <c r="B775" s="27" t="s">
        <v>1014</v>
      </c>
      <c r="C775" s="430" t="s">
        <v>10</v>
      </c>
      <c r="D775" s="430" t="s">
        <v>31</v>
      </c>
      <c r="E775" s="210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>
        <f>SUM(Tablo2[[#This Row],[Ocak]:[Aralık]])</f>
        <v>0</v>
      </c>
      <c r="U775" s="151"/>
      <c r="V775" s="151"/>
      <c r="W775" s="151"/>
    </row>
    <row r="776" spans="1:23" ht="14.4" x14ac:dyDescent="0.3">
      <c r="A776" s="538"/>
      <c r="B776" s="27" t="s">
        <v>1014</v>
      </c>
      <c r="C776" s="430" t="s">
        <v>10</v>
      </c>
      <c r="D776" s="430" t="s">
        <v>34</v>
      </c>
      <c r="E776" s="210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>
        <f>SUM(Tablo2[[#This Row],[Ocak]:[Aralık]])</f>
        <v>0</v>
      </c>
      <c r="U776" s="151"/>
      <c r="V776" s="151"/>
      <c r="W776" s="151"/>
    </row>
    <row r="777" spans="1:23" ht="14.4" x14ac:dyDescent="0.3">
      <c r="A777" s="538"/>
      <c r="B777" s="27" t="s">
        <v>1014</v>
      </c>
      <c r="C777" s="430" t="s">
        <v>10</v>
      </c>
      <c r="D777" s="430" t="s">
        <v>37</v>
      </c>
      <c r="E777" s="210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>
        <f>SUM(Tablo2[[#This Row],[Ocak]:[Aralık]])</f>
        <v>0</v>
      </c>
      <c r="U777" s="151"/>
      <c r="V777" s="151"/>
      <c r="W777" s="151"/>
    </row>
    <row r="778" spans="1:23" ht="14.4" x14ac:dyDescent="0.3">
      <c r="A778" s="538"/>
      <c r="B778" s="27" t="s">
        <v>1014</v>
      </c>
      <c r="C778" s="430" t="s">
        <v>10</v>
      </c>
      <c r="D778" s="430" t="s">
        <v>39</v>
      </c>
      <c r="E778" s="210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>
        <f>SUM(Tablo2[[#This Row],[Ocak]:[Aralık]])</f>
        <v>0</v>
      </c>
      <c r="U778" s="151"/>
      <c r="V778" s="151"/>
      <c r="W778" s="151"/>
    </row>
    <row r="779" spans="1:23" ht="14.4" x14ac:dyDescent="0.3">
      <c r="A779" s="538"/>
      <c r="B779" s="27" t="s">
        <v>1014</v>
      </c>
      <c r="C779" s="430" t="s">
        <v>10</v>
      </c>
      <c r="D779" s="430" t="s">
        <v>42</v>
      </c>
      <c r="E779" s="210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>
        <f>SUM(Tablo2[[#This Row],[Ocak]:[Aralık]])</f>
        <v>0</v>
      </c>
      <c r="U779" s="151"/>
      <c r="V779" s="151"/>
      <c r="W779" s="151"/>
    </row>
    <row r="780" spans="1:23" ht="15.75" customHeight="1" x14ac:dyDescent="0.3">
      <c r="A780" s="538"/>
      <c r="B780" s="27" t="s">
        <v>1014</v>
      </c>
      <c r="C780" s="430" t="s">
        <v>10</v>
      </c>
      <c r="D780" s="430" t="s">
        <v>45</v>
      </c>
      <c r="E780" s="210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>
        <f>SUM(Tablo2[[#This Row],[Ocak]:[Aralık]])</f>
        <v>0</v>
      </c>
      <c r="T780" s="449"/>
      <c r="U780" s="151"/>
      <c r="V780" s="151"/>
      <c r="W780" s="151"/>
    </row>
    <row r="781" spans="1:23" ht="14.4" x14ac:dyDescent="0.3">
      <c r="A781" s="538"/>
      <c r="B781" s="27" t="s">
        <v>1014</v>
      </c>
      <c r="C781" s="430" t="s">
        <v>10</v>
      </c>
      <c r="D781" s="430" t="s">
        <v>48</v>
      </c>
      <c r="E781" s="210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>
        <f>SUM(Tablo2[[#This Row],[Ocak]:[Aralık]])</f>
        <v>0</v>
      </c>
      <c r="T781" s="449"/>
      <c r="U781" s="151"/>
      <c r="V781" s="151"/>
      <c r="W781" s="151"/>
    </row>
    <row r="782" spans="1:23" ht="14.4" x14ac:dyDescent="0.3">
      <c r="A782" s="538"/>
      <c r="B782" s="27" t="s">
        <v>1014</v>
      </c>
      <c r="C782" s="430" t="s">
        <v>10</v>
      </c>
      <c r="D782" s="430" t="s">
        <v>50</v>
      </c>
      <c r="E782" s="210"/>
      <c r="F782" s="108"/>
      <c r="G782" s="108"/>
      <c r="H782" s="108"/>
      <c r="I782" s="108"/>
      <c r="J782" s="108"/>
      <c r="K782" s="108">
        <v>660</v>
      </c>
      <c r="L782" s="108">
        <v>1000</v>
      </c>
      <c r="M782" s="108">
        <v>1691</v>
      </c>
      <c r="N782" s="108"/>
      <c r="O782" s="108"/>
      <c r="P782" s="108"/>
      <c r="Q782" s="108">
        <f>SUM(Tablo2[[#This Row],[Ocak]:[Aralık]])</f>
        <v>3351</v>
      </c>
      <c r="U782" s="151"/>
      <c r="V782" s="151"/>
      <c r="W782" s="151"/>
    </row>
    <row r="783" spans="1:23" ht="14.4" x14ac:dyDescent="0.3">
      <c r="A783" s="54">
        <v>5</v>
      </c>
      <c r="B783" s="27" t="s">
        <v>1014</v>
      </c>
      <c r="C783" s="430" t="s">
        <v>14</v>
      </c>
      <c r="D783" s="430"/>
      <c r="E783" s="210"/>
      <c r="F783" s="108"/>
      <c r="G783" s="108"/>
      <c r="H783" s="108"/>
      <c r="I783" s="108"/>
      <c r="J783" s="108"/>
      <c r="K783" s="151">
        <v>3280</v>
      </c>
      <c r="L783" s="108">
        <v>3935</v>
      </c>
      <c r="M783" s="108">
        <v>4270</v>
      </c>
      <c r="N783" s="108"/>
      <c r="O783" s="108"/>
      <c r="P783" s="108"/>
      <c r="Q783" s="108">
        <f>SUM(Tablo2[[#This Row],[Ocak]:[Aralık]])</f>
        <v>11485</v>
      </c>
      <c r="U783" s="151"/>
      <c r="V783" s="151"/>
      <c r="W783" s="151"/>
    </row>
    <row r="784" spans="1:23" ht="14.4" x14ac:dyDescent="0.3">
      <c r="A784" s="54">
        <v>6</v>
      </c>
      <c r="B784" s="27" t="s">
        <v>1014</v>
      </c>
      <c r="C784" s="430" t="s">
        <v>18</v>
      </c>
      <c r="D784" s="430"/>
      <c r="E784" s="210"/>
      <c r="F784" s="108"/>
      <c r="G784" s="108"/>
      <c r="H784" s="108"/>
      <c r="I784" s="108"/>
      <c r="J784" s="108"/>
      <c r="K784" s="151">
        <v>410</v>
      </c>
      <c r="L784" s="108">
        <v>250</v>
      </c>
      <c r="M784" s="108">
        <v>645</v>
      </c>
      <c r="N784" s="108"/>
      <c r="O784" s="108"/>
      <c r="P784" s="108"/>
      <c r="Q784" s="108">
        <f>SUM(Tablo2[[#This Row],[Ocak]:[Aralık]])</f>
        <v>1305</v>
      </c>
      <c r="U784" s="151"/>
      <c r="V784" s="151"/>
      <c r="W784" s="151"/>
    </row>
    <row r="785" spans="1:23" ht="21.75" customHeight="1" x14ac:dyDescent="0.3">
      <c r="A785" s="54">
        <v>7</v>
      </c>
      <c r="B785" s="27" t="s">
        <v>1014</v>
      </c>
      <c r="C785" s="430" t="s">
        <v>21</v>
      </c>
      <c r="D785" s="430"/>
      <c r="E785" s="210"/>
      <c r="F785" s="108"/>
      <c r="G785" s="108"/>
      <c r="H785" s="108"/>
      <c r="I785" s="108"/>
      <c r="J785" s="108"/>
      <c r="K785" s="151">
        <v>665</v>
      </c>
      <c r="L785" s="108">
        <v>1851</v>
      </c>
      <c r="M785" s="108">
        <v>1545</v>
      </c>
      <c r="N785" s="108"/>
      <c r="O785" s="108"/>
      <c r="P785" s="108"/>
      <c r="Q785" s="108">
        <f>SUM(Tablo2[[#This Row],[Ocak]:[Aralık]])</f>
        <v>4061</v>
      </c>
      <c r="U785" s="151"/>
      <c r="V785" s="151"/>
      <c r="W785" s="151"/>
    </row>
    <row r="786" spans="1:23" ht="14.4" x14ac:dyDescent="0.3">
      <c r="A786" s="54">
        <v>8</v>
      </c>
      <c r="B786" s="27" t="s">
        <v>1014</v>
      </c>
      <c r="C786" s="430" t="s">
        <v>24</v>
      </c>
      <c r="D786" s="430"/>
      <c r="E786" s="210"/>
      <c r="F786" s="108"/>
      <c r="G786" s="108"/>
      <c r="H786" s="108"/>
      <c r="I786" s="108"/>
      <c r="J786" s="108"/>
      <c r="K786" s="151">
        <v>4705</v>
      </c>
      <c r="L786" s="108">
        <v>6563</v>
      </c>
      <c r="M786" s="108">
        <v>7006</v>
      </c>
      <c r="N786" s="108"/>
      <c r="O786" s="108"/>
      <c r="P786" s="108"/>
      <c r="Q786" s="108">
        <f>SUM(Tablo2[[#This Row],[Ocak]:[Aralık]])</f>
        <v>18274</v>
      </c>
      <c r="U786" s="151"/>
      <c r="V786" s="151"/>
      <c r="W786" s="151"/>
    </row>
    <row r="787" spans="1:23" ht="14.4" x14ac:dyDescent="0.3">
      <c r="A787" s="54">
        <v>9</v>
      </c>
      <c r="B787" s="27" t="s">
        <v>1014</v>
      </c>
      <c r="C787" s="430" t="s">
        <v>27</v>
      </c>
      <c r="D787" s="430"/>
      <c r="E787" s="210"/>
      <c r="F787" s="108"/>
      <c r="G787" s="108"/>
      <c r="H787" s="108"/>
      <c r="I787" s="108"/>
      <c r="J787" s="108"/>
      <c r="K787" s="151"/>
      <c r="L787" s="108">
        <v>50</v>
      </c>
      <c r="M787" s="108">
        <v>100</v>
      </c>
      <c r="N787" s="108"/>
      <c r="O787" s="108"/>
      <c r="P787" s="108"/>
      <c r="Q787" s="108">
        <f>SUM(Tablo2[[#This Row],[Ocak]:[Aralık]])</f>
        <v>150</v>
      </c>
      <c r="U787" s="151"/>
      <c r="V787" s="151"/>
      <c r="W787" s="151"/>
    </row>
    <row r="788" spans="1:23" ht="14.4" x14ac:dyDescent="0.3">
      <c r="A788" s="54">
        <v>10</v>
      </c>
      <c r="B788" s="27" t="s">
        <v>1014</v>
      </c>
      <c r="C788" s="430" t="s">
        <v>30</v>
      </c>
      <c r="D788" s="430"/>
      <c r="E788" s="210"/>
      <c r="F788" s="108"/>
      <c r="G788" s="108"/>
      <c r="H788" s="108"/>
      <c r="I788" s="108"/>
      <c r="J788" s="108"/>
      <c r="K788" s="151"/>
      <c r="L788" s="108"/>
      <c r="M788" s="108">
        <v>165</v>
      </c>
      <c r="N788" s="108"/>
      <c r="O788" s="108"/>
      <c r="P788" s="108"/>
      <c r="Q788" s="108">
        <f>SUM(Tablo2[[#This Row],[Ocak]:[Aralık]])</f>
        <v>165</v>
      </c>
      <c r="U788" s="151"/>
      <c r="V788" s="151"/>
      <c r="W788" s="151"/>
    </row>
    <row r="789" spans="1:23" ht="14.4" x14ac:dyDescent="0.3">
      <c r="A789" s="54">
        <v>11</v>
      </c>
      <c r="B789" s="27" t="s">
        <v>1014</v>
      </c>
      <c r="C789" s="430" t="s">
        <v>33</v>
      </c>
      <c r="D789" s="430"/>
      <c r="E789" s="210"/>
      <c r="F789" s="108"/>
      <c r="G789" s="108"/>
      <c r="H789" s="108"/>
      <c r="I789" s="108"/>
      <c r="J789" s="108"/>
      <c r="K789" s="151"/>
      <c r="L789" s="108">
        <v>90</v>
      </c>
      <c r="M789" s="108"/>
      <c r="N789" s="108"/>
      <c r="O789" s="108"/>
      <c r="P789" s="108"/>
      <c r="Q789" s="108">
        <f>SUM(Tablo2[[#This Row],[Ocak]:[Aralık]])</f>
        <v>90</v>
      </c>
      <c r="U789" s="151"/>
      <c r="V789" s="151"/>
      <c r="W789" s="151"/>
    </row>
    <row r="790" spans="1:23" ht="15.75" customHeight="1" x14ac:dyDescent="0.3">
      <c r="A790" s="54">
        <v>12</v>
      </c>
      <c r="B790" s="27" t="s">
        <v>1014</v>
      </c>
      <c r="C790" s="430" t="s">
        <v>36</v>
      </c>
      <c r="D790" s="430"/>
      <c r="E790" s="210"/>
      <c r="F790" s="108"/>
      <c r="G790" s="108"/>
      <c r="H790" s="108"/>
      <c r="I790" s="108"/>
      <c r="J790" s="108"/>
      <c r="K790" s="151">
        <v>20</v>
      </c>
      <c r="L790" s="108">
        <v>375</v>
      </c>
      <c r="M790" s="108">
        <v>130</v>
      </c>
      <c r="N790" s="108"/>
      <c r="O790" s="108"/>
      <c r="P790" s="108"/>
      <c r="Q790" s="108">
        <f>SUM(Tablo2[[#This Row],[Ocak]:[Aralık]])</f>
        <v>525</v>
      </c>
      <c r="U790" s="151"/>
      <c r="V790" s="151"/>
      <c r="W790" s="151"/>
    </row>
    <row r="791" spans="1:23" ht="14.4" x14ac:dyDescent="0.3">
      <c r="A791" s="54">
        <v>13</v>
      </c>
      <c r="B791" s="27" t="s">
        <v>1014</v>
      </c>
      <c r="C791" s="430" t="s">
        <v>38</v>
      </c>
      <c r="D791" s="430"/>
      <c r="E791" s="210"/>
      <c r="F791" s="108"/>
      <c r="G791" s="108"/>
      <c r="H791" s="108"/>
      <c r="I791" s="108"/>
      <c r="J791" s="108"/>
      <c r="K791" s="151"/>
      <c r="L791" s="108"/>
      <c r="M791" s="108"/>
      <c r="N791" s="108"/>
      <c r="O791" s="108"/>
      <c r="P791" s="108"/>
      <c r="Q791" s="108">
        <f>SUM(Tablo2[[#This Row],[Ocak]:[Aralık]])</f>
        <v>0</v>
      </c>
      <c r="U791" s="151"/>
      <c r="V791" s="151"/>
      <c r="W791" s="151"/>
    </row>
    <row r="792" spans="1:23" ht="14.4" x14ac:dyDescent="0.3">
      <c r="A792" s="54">
        <v>14</v>
      </c>
      <c r="B792" s="27" t="s">
        <v>1014</v>
      </c>
      <c r="C792" s="430" t="s">
        <v>41</v>
      </c>
      <c r="D792" s="430"/>
      <c r="E792" s="210"/>
      <c r="F792" s="108"/>
      <c r="G792" s="108"/>
      <c r="H792" s="108"/>
      <c r="I792" s="108"/>
      <c r="J792" s="108"/>
      <c r="K792" s="151"/>
      <c r="L792" s="108">
        <v>0</v>
      </c>
      <c r="M792" s="108">
        <v>0</v>
      </c>
      <c r="N792" s="108"/>
      <c r="O792" s="108"/>
      <c r="P792" s="108"/>
      <c r="Q792" s="108">
        <f>SUM(Tablo2[[#This Row],[Ocak]:[Aralık]])</f>
        <v>0</v>
      </c>
      <c r="U792" s="151"/>
      <c r="V792" s="151"/>
      <c r="W792" s="151"/>
    </row>
    <row r="793" spans="1:23" ht="14.4" x14ac:dyDescent="0.3">
      <c r="A793" s="54">
        <v>15</v>
      </c>
      <c r="B793" s="27" t="s">
        <v>1014</v>
      </c>
      <c r="C793" s="430" t="s">
        <v>44</v>
      </c>
      <c r="D793" s="430"/>
      <c r="E793" s="210"/>
      <c r="F793" s="108"/>
      <c r="G793" s="108"/>
      <c r="H793" s="108"/>
      <c r="I793" s="108"/>
      <c r="J793" s="108"/>
      <c r="K793" s="151"/>
      <c r="L793" s="108">
        <v>0</v>
      </c>
      <c r="M793" s="108">
        <v>90</v>
      </c>
      <c r="N793" s="108"/>
      <c r="O793" s="108"/>
      <c r="P793" s="108"/>
      <c r="Q793" s="108">
        <f>SUM(Tablo2[[#This Row],[Ocak]:[Aralık]])</f>
        <v>90</v>
      </c>
      <c r="U793" s="151"/>
      <c r="V793" s="151"/>
      <c r="W793" s="151"/>
    </row>
    <row r="794" spans="1:23" ht="14.4" x14ac:dyDescent="0.3">
      <c r="A794" s="54">
        <v>16</v>
      </c>
      <c r="B794" s="27" t="s">
        <v>1014</v>
      </c>
      <c r="C794" s="430" t="s">
        <v>47</v>
      </c>
      <c r="D794" s="430"/>
      <c r="E794" s="210"/>
      <c r="F794" s="108"/>
      <c r="G794" s="108"/>
      <c r="H794" s="108"/>
      <c r="I794" s="108"/>
      <c r="J794" s="108"/>
      <c r="K794" s="151">
        <v>6714</v>
      </c>
      <c r="L794" s="108">
        <v>7846</v>
      </c>
      <c r="M794" s="108">
        <v>10149</v>
      </c>
      <c r="N794" s="108"/>
      <c r="O794" s="108"/>
      <c r="P794" s="108"/>
      <c r="Q794" s="108">
        <f>SUM(Tablo2[[#This Row],[Ocak]:[Aralık]])</f>
        <v>24709</v>
      </c>
      <c r="U794" s="151"/>
      <c r="V794" s="151"/>
      <c r="W794" s="151"/>
    </row>
    <row r="795" spans="1:23" ht="15.75" customHeight="1" x14ac:dyDescent="0.3">
      <c r="A795" s="54">
        <v>17</v>
      </c>
      <c r="B795" s="27" t="s">
        <v>1014</v>
      </c>
      <c r="C795" s="430" t="s">
        <v>49</v>
      </c>
      <c r="D795" s="430"/>
      <c r="E795" s="210"/>
      <c r="F795" s="108"/>
      <c r="G795" s="108"/>
      <c r="H795" s="108"/>
      <c r="I795" s="108"/>
      <c r="J795" s="108"/>
      <c r="K795" s="151">
        <v>467</v>
      </c>
      <c r="L795" s="108">
        <v>1236</v>
      </c>
      <c r="M795" s="108">
        <v>1290</v>
      </c>
      <c r="N795" s="108"/>
      <c r="O795" s="108"/>
      <c r="P795" s="108"/>
      <c r="Q795" s="108">
        <f>SUM(Tablo2[[#This Row],[Ocak]:[Aralık]])</f>
        <v>2993</v>
      </c>
      <c r="U795" s="151"/>
      <c r="V795" s="151"/>
      <c r="W795" s="151"/>
    </row>
    <row r="796" spans="1:23" ht="14.4" x14ac:dyDescent="0.3">
      <c r="A796" s="54">
        <v>18</v>
      </c>
      <c r="B796" s="27" t="s">
        <v>1014</v>
      </c>
      <c r="C796" s="430" t="s">
        <v>51</v>
      </c>
      <c r="D796" s="430"/>
      <c r="E796" s="210"/>
      <c r="F796" s="108"/>
      <c r="G796" s="108"/>
      <c r="H796" s="108"/>
      <c r="I796" s="108"/>
      <c r="J796" s="108"/>
      <c r="K796" s="151">
        <v>15</v>
      </c>
      <c r="L796" s="108">
        <v>40</v>
      </c>
      <c r="M796" s="108">
        <v>0</v>
      </c>
      <c r="N796" s="108"/>
      <c r="O796" s="108"/>
      <c r="P796" s="108"/>
      <c r="Q796" s="108">
        <f>SUM(Tablo2[[#This Row],[Ocak]:[Aralık]])</f>
        <v>55</v>
      </c>
      <c r="U796" s="151"/>
      <c r="V796" s="151"/>
      <c r="W796" s="151"/>
    </row>
    <row r="797" spans="1:23" ht="14.4" x14ac:dyDescent="0.3">
      <c r="A797" s="54">
        <v>19</v>
      </c>
      <c r="B797" s="27" t="s">
        <v>1014</v>
      </c>
      <c r="C797" s="430" t="s">
        <v>52</v>
      </c>
      <c r="D797" s="430"/>
      <c r="E797" s="210"/>
      <c r="F797" s="108"/>
      <c r="G797" s="108"/>
      <c r="H797" s="108"/>
      <c r="I797" s="108"/>
      <c r="J797" s="108"/>
      <c r="K797" s="151"/>
      <c r="L797" s="108">
        <v>0</v>
      </c>
      <c r="M797" s="108">
        <v>0</v>
      </c>
      <c r="N797" s="108"/>
      <c r="O797" s="108"/>
      <c r="P797" s="108"/>
      <c r="Q797" s="108">
        <f>SUM(Tablo2[[#This Row],[Ocak]:[Aralık]])</f>
        <v>0</v>
      </c>
      <c r="U797" s="151"/>
      <c r="V797" s="151"/>
      <c r="W797" s="151"/>
    </row>
    <row r="798" spans="1:23" ht="14.4" x14ac:dyDescent="0.3">
      <c r="A798" s="54">
        <v>20</v>
      </c>
      <c r="B798" s="27" t="s">
        <v>1014</v>
      </c>
      <c r="C798" s="430" t="s">
        <v>53</v>
      </c>
      <c r="D798" s="430"/>
      <c r="E798" s="210"/>
      <c r="F798" s="108"/>
      <c r="G798" s="108"/>
      <c r="H798" s="108"/>
      <c r="I798" s="108"/>
      <c r="J798" s="108"/>
      <c r="K798" s="151"/>
      <c r="L798" s="108">
        <v>370</v>
      </c>
      <c r="M798" s="108">
        <v>30</v>
      </c>
      <c r="N798" s="108"/>
      <c r="O798" s="108"/>
      <c r="P798" s="108"/>
      <c r="Q798" s="108">
        <f>SUM(Tablo2[[#This Row],[Ocak]:[Aralık]])</f>
        <v>400</v>
      </c>
      <c r="U798" s="151"/>
      <c r="V798" s="151"/>
      <c r="W798" s="151"/>
    </row>
    <row r="799" spans="1:23" ht="14.4" x14ac:dyDescent="0.3">
      <c r="A799" s="54">
        <v>21</v>
      </c>
      <c r="B799" s="27" t="s">
        <v>1014</v>
      </c>
      <c r="C799" s="430" t="s">
        <v>54</v>
      </c>
      <c r="D799" s="430"/>
      <c r="E799" s="210"/>
      <c r="F799" s="108"/>
      <c r="G799" s="108"/>
      <c r="H799" s="108"/>
      <c r="I799" s="108"/>
      <c r="J799" s="108"/>
      <c r="K799" s="151"/>
      <c r="L799" s="108">
        <v>0</v>
      </c>
      <c r="M799" s="108">
        <v>0</v>
      </c>
      <c r="N799" s="108"/>
      <c r="O799" s="108"/>
      <c r="P799" s="108"/>
      <c r="Q799" s="108">
        <f>SUM(Tablo2[[#This Row],[Ocak]:[Aralık]])</f>
        <v>0</v>
      </c>
      <c r="U799" s="151"/>
      <c r="V799" s="151"/>
      <c r="W799" s="151"/>
    </row>
    <row r="800" spans="1:23" ht="21.75" customHeight="1" x14ac:dyDescent="0.3">
      <c r="A800" s="54">
        <v>22</v>
      </c>
      <c r="B800" s="27" t="s">
        <v>1014</v>
      </c>
      <c r="C800" s="430" t="s">
        <v>55</v>
      </c>
      <c r="D800" s="430"/>
      <c r="E800" s="210"/>
      <c r="F800" s="108"/>
      <c r="G800" s="108"/>
      <c r="H800" s="108"/>
      <c r="I800" s="108"/>
      <c r="J800" s="108"/>
      <c r="K800" s="151">
        <v>90</v>
      </c>
      <c r="L800" s="108">
        <v>120</v>
      </c>
      <c r="M800" s="108">
        <v>600</v>
      </c>
      <c r="N800" s="108"/>
      <c r="O800" s="108"/>
      <c r="P800" s="108"/>
      <c r="Q800" s="108">
        <f>SUM(Tablo2[[#This Row],[Ocak]:[Aralık]])</f>
        <v>810</v>
      </c>
      <c r="U800" s="151"/>
      <c r="V800" s="151"/>
      <c r="W800" s="151"/>
    </row>
    <row r="801" spans="1:23" ht="14.4" x14ac:dyDescent="0.3">
      <c r="A801" s="54">
        <v>23</v>
      </c>
      <c r="B801" s="27" t="s">
        <v>1014</v>
      </c>
      <c r="C801" s="430" t="s">
        <v>56</v>
      </c>
      <c r="D801" s="430"/>
      <c r="E801" s="210"/>
      <c r="F801" s="108"/>
      <c r="G801" s="108"/>
      <c r="H801" s="108"/>
      <c r="I801" s="108"/>
      <c r="J801" s="108"/>
      <c r="K801" s="151"/>
      <c r="L801" s="108">
        <v>55</v>
      </c>
      <c r="M801" s="108">
        <v>0</v>
      </c>
      <c r="N801" s="108"/>
      <c r="O801" s="108"/>
      <c r="P801" s="108"/>
      <c r="Q801" s="108">
        <f>SUM(Tablo2[[#This Row],[Ocak]:[Aralık]])</f>
        <v>55</v>
      </c>
      <c r="U801" s="151"/>
      <c r="V801" s="151"/>
      <c r="W801" s="151"/>
    </row>
    <row r="802" spans="1:23" ht="14.4" x14ac:dyDescent="0.3">
      <c r="A802" s="54">
        <v>24</v>
      </c>
      <c r="B802" s="27" t="s">
        <v>1014</v>
      </c>
      <c r="C802" s="430" t="s">
        <v>57</v>
      </c>
      <c r="D802" s="430"/>
      <c r="E802" s="210"/>
      <c r="F802" s="108"/>
      <c r="G802" s="108"/>
      <c r="H802" s="108"/>
      <c r="I802" s="108"/>
      <c r="J802" s="108"/>
      <c r="K802" s="151">
        <v>1430</v>
      </c>
      <c r="L802" s="108">
        <v>420</v>
      </c>
      <c r="M802" s="108">
        <v>330</v>
      </c>
      <c r="N802" s="108"/>
      <c r="O802" s="108"/>
      <c r="P802" s="108"/>
      <c r="Q802" s="108">
        <f>SUM(Tablo2[[#This Row],[Ocak]:[Aralık]])</f>
        <v>2180</v>
      </c>
      <c r="U802" s="151"/>
      <c r="V802" s="151"/>
      <c r="W802" s="151"/>
    </row>
    <row r="803" spans="1:23" ht="14.4" x14ac:dyDescent="0.3">
      <c r="B803" s="401"/>
      <c r="C803" s="430"/>
      <c r="D803" s="430"/>
      <c r="E803" s="210"/>
      <c r="F803" s="108"/>
      <c r="G803" s="108"/>
      <c r="H803" s="108"/>
      <c r="I803" s="108"/>
      <c r="J803" s="108"/>
      <c r="K803" s="151"/>
      <c r="L803" s="108"/>
      <c r="M803" s="108"/>
      <c r="N803" s="108"/>
      <c r="O803" s="108"/>
      <c r="P803" s="108"/>
      <c r="Q803" s="108">
        <f>SUM(Tablo2[[#This Row],[Ocak]:[Aralık]])</f>
        <v>0</v>
      </c>
      <c r="U803" s="151"/>
      <c r="V803" s="151"/>
      <c r="W803" s="151"/>
    </row>
    <row r="804" spans="1:23" ht="14.4" x14ac:dyDescent="0.3">
      <c r="B804" s="401"/>
      <c r="C804" s="430"/>
      <c r="D804" s="430"/>
      <c r="E804" s="210"/>
      <c r="F804" s="108"/>
      <c r="G804" s="108"/>
      <c r="H804" s="108"/>
      <c r="I804" s="108"/>
      <c r="J804" s="108"/>
      <c r="K804" s="151"/>
      <c r="L804" s="108"/>
      <c r="M804" s="108"/>
      <c r="N804" s="108"/>
      <c r="O804" s="108"/>
      <c r="P804" s="108"/>
      <c r="Q804" s="108">
        <f>SUM(Tablo2[[#This Row],[Ocak]:[Aralık]])</f>
        <v>0</v>
      </c>
      <c r="U804" s="151"/>
      <c r="V804" s="151"/>
      <c r="W804" s="151"/>
    </row>
    <row r="805" spans="1:23" ht="15.75" customHeight="1" x14ac:dyDescent="0.3">
      <c r="U805" s="151"/>
      <c r="V805" s="151"/>
      <c r="W805" s="151"/>
    </row>
    <row r="806" spans="1:23" ht="14.4" x14ac:dyDescent="0.3">
      <c r="U806" s="151"/>
      <c r="V806" s="151"/>
      <c r="W806" s="151"/>
    </row>
    <row r="807" spans="1:23" ht="14.4" x14ac:dyDescent="0.3">
      <c r="U807" s="151"/>
      <c r="V807" s="151"/>
      <c r="W807" s="151"/>
    </row>
    <row r="808" spans="1:23" ht="14.4" x14ac:dyDescent="0.3">
      <c r="U808" s="151"/>
      <c r="V808" s="151"/>
      <c r="W808" s="151"/>
    </row>
    <row r="809" spans="1:23" ht="14.4" x14ac:dyDescent="0.3">
      <c r="U809" s="151"/>
      <c r="V809" s="151"/>
      <c r="W809" s="151"/>
    </row>
    <row r="810" spans="1:23" ht="15.75" customHeight="1" x14ac:dyDescent="0.3">
      <c r="U810" s="151"/>
      <c r="V810" s="151"/>
      <c r="W810" s="151"/>
    </row>
    <row r="811" spans="1:23" ht="14.4" x14ac:dyDescent="0.3">
      <c r="U811" s="151"/>
      <c r="V811" s="151"/>
      <c r="W811" s="151"/>
    </row>
    <row r="812" spans="1:23" ht="14.4" x14ac:dyDescent="0.3">
      <c r="U812" s="151"/>
      <c r="V812" s="151"/>
      <c r="W812" s="151"/>
    </row>
    <row r="813" spans="1:23" ht="14.4" x14ac:dyDescent="0.3">
      <c r="U813" s="151"/>
      <c r="V813" s="151"/>
      <c r="W813" s="151"/>
    </row>
    <row r="814" spans="1:23" ht="14.4" x14ac:dyDescent="0.3">
      <c r="U814" s="151"/>
      <c r="V814" s="151"/>
      <c r="W814" s="151"/>
    </row>
  </sheetData>
  <sortState ref="T131:V143">
    <sortCondition ref="U131:U143"/>
  </sortState>
  <mergeCells count="32">
    <mergeCell ref="A753:A767"/>
    <mergeCell ref="A768:A782"/>
    <mergeCell ref="A253:A267"/>
    <mergeCell ref="A268:A282"/>
    <mergeCell ref="A303:A317"/>
    <mergeCell ref="A318:A332"/>
    <mergeCell ref="A353:A367"/>
    <mergeCell ref="A368:A382"/>
    <mergeCell ref="A403:A417"/>
    <mergeCell ref="A418:A432"/>
    <mergeCell ref="A453:A467"/>
    <mergeCell ref="A468:A482"/>
    <mergeCell ref="A503:A517"/>
    <mergeCell ref="A518:A532"/>
    <mergeCell ref="A553:A567"/>
    <mergeCell ref="A568:A582"/>
    <mergeCell ref="A118:A132"/>
    <mergeCell ref="A153:A167"/>
    <mergeCell ref="A168:A182"/>
    <mergeCell ref="A203:A217"/>
    <mergeCell ref="A218:A232"/>
    <mergeCell ref="A3:A17"/>
    <mergeCell ref="A18:A32"/>
    <mergeCell ref="A53:A67"/>
    <mergeCell ref="A68:A82"/>
    <mergeCell ref="A103:A117"/>
    <mergeCell ref="A703:A717"/>
    <mergeCell ref="A718:A732"/>
    <mergeCell ref="A603:A617"/>
    <mergeCell ref="A618:A632"/>
    <mergeCell ref="A653:A667"/>
    <mergeCell ref="A668:A682"/>
  </mergeCells>
  <pageMargins left="0.7" right="0.7" top="0.75" bottom="0.75" header="0.3" footer="0.3"/>
  <pageSetup paperSize="9" orientation="portrait" r:id="rId1"/>
  <headerFooter differentFirst="1">
    <oddFooter>&amp;C&amp;"verdana,Regular"&amp;8Kurum İçi | Internal \  Kişisel Veri İçermez | Contains No Personal Data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Listeler!$D$2:$D$31</xm:f>
          </x14:formula1>
          <xm:sqref>D3:D804</xm:sqref>
        </x14:dataValidation>
        <x14:dataValidation type="list" allowBlank="1" showInputMessage="1" showErrorMessage="1" xr:uid="{00000000-0002-0000-0200-000001000000}">
          <x14:formula1>
            <xm:f>Listeler!$C$2:$C$23</xm:f>
          </x14:formula1>
          <xm:sqref>C3:C804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ayfa2"/>
  <dimension ref="B1:AC204"/>
  <sheetViews>
    <sheetView showGridLines="0" zoomScaleNormal="100" zoomScaleSheetLayoutView="85" workbookViewId="0">
      <pane xSplit="5" ySplit="4" topLeftCell="F132" activePane="bottomRight" state="frozen"/>
      <selection pane="topRight" activeCell="F1" sqref="F1"/>
      <selection pane="bottomLeft" activeCell="A5" sqref="A5"/>
      <selection pane="bottomRight" activeCell="M141" sqref="M141"/>
    </sheetView>
  </sheetViews>
  <sheetFormatPr defaultColWidth="10.88671875" defaultRowHeight="19.95" customHeight="1" x14ac:dyDescent="0.3"/>
  <cols>
    <col min="1" max="1" width="3.109375" style="21" customWidth="1"/>
    <col min="2" max="3" width="10.88671875" style="21"/>
    <col min="4" max="4" width="10.33203125" style="21" bestFit="1" customWidth="1"/>
    <col min="5" max="5" width="20.88671875" style="21" bestFit="1" customWidth="1"/>
    <col min="6" max="6" width="10.6640625" style="21" customWidth="1"/>
    <col min="7" max="7" width="8.6640625" style="21" customWidth="1"/>
    <col min="8" max="8" width="9.5546875" style="21" customWidth="1"/>
    <col min="9" max="9" width="10" style="21" customWidth="1"/>
    <col min="10" max="10" width="9.5546875" style="21" customWidth="1"/>
    <col min="11" max="12" width="9.33203125" style="21" customWidth="1"/>
    <col min="13" max="14" width="12" style="21" customWidth="1"/>
    <col min="15" max="15" width="11" style="21" customWidth="1"/>
    <col min="16" max="16" width="11.44140625" style="21" customWidth="1"/>
    <col min="17" max="17" width="12.109375" style="21" customWidth="1"/>
    <col min="18" max="18" width="9.88671875" style="21" customWidth="1"/>
    <col min="19" max="19" width="8.44140625" style="21" customWidth="1"/>
    <col min="20" max="20" width="9.109375" style="21" customWidth="1"/>
    <col min="21" max="21" width="9.6640625" style="21" customWidth="1"/>
    <col min="22" max="23" width="7.88671875" style="21" customWidth="1"/>
    <col min="24" max="24" width="8.44140625" style="21" customWidth="1"/>
    <col min="25" max="25" width="10.5546875" style="21" bestFit="1" customWidth="1"/>
    <col min="26" max="27" width="8.5546875" style="21" customWidth="1"/>
    <col min="28" max="28" width="8.44140625" style="21" customWidth="1"/>
    <col min="29" max="29" width="9.6640625" style="21" customWidth="1"/>
    <col min="30" max="16384" width="10.88671875" style="21"/>
  </cols>
  <sheetData>
    <row r="1" spans="2:29" ht="30.6" customHeight="1" x14ac:dyDescent="0.3">
      <c r="C1" s="542"/>
      <c r="D1" s="542"/>
      <c r="E1" s="542"/>
      <c r="F1" s="84"/>
      <c r="G1" s="547" t="s">
        <v>58</v>
      </c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36"/>
    </row>
    <row r="2" spans="2:29" s="32" customFormat="1" ht="30" customHeight="1" x14ac:dyDescent="0.3">
      <c r="C2" s="542"/>
      <c r="D2" s="542"/>
      <c r="E2" s="542"/>
      <c r="F2" s="84"/>
      <c r="G2" s="42" t="s">
        <v>59</v>
      </c>
      <c r="H2" s="42" t="s">
        <v>60</v>
      </c>
      <c r="I2" s="42" t="s">
        <v>61</v>
      </c>
      <c r="J2" s="41" t="s">
        <v>152</v>
      </c>
      <c r="K2" s="543" t="s">
        <v>153</v>
      </c>
      <c r="L2" s="544"/>
      <c r="M2" s="42" t="s">
        <v>62</v>
      </c>
      <c r="N2" s="42"/>
      <c r="O2" s="65" t="s">
        <v>63</v>
      </c>
      <c r="P2" s="42" t="s">
        <v>154</v>
      </c>
      <c r="Q2" s="42" t="s">
        <v>64</v>
      </c>
      <c r="S2" s="35"/>
      <c r="T2" s="35"/>
      <c r="U2" s="35"/>
      <c r="V2" s="35"/>
      <c r="W2" s="35"/>
      <c r="X2" s="87"/>
      <c r="Y2" s="35"/>
      <c r="Z2" s="35"/>
      <c r="AA2" s="35"/>
      <c r="AB2" s="35"/>
      <c r="AC2" s="87"/>
    </row>
    <row r="3" spans="2:29" s="33" customFormat="1" ht="18.600000000000001" thickBot="1" x14ac:dyDescent="0.35">
      <c r="C3" s="542"/>
      <c r="D3" s="542"/>
      <c r="E3" s="542"/>
      <c r="F3" s="84"/>
      <c r="G3" s="34" t="s">
        <v>65</v>
      </c>
      <c r="H3" s="34" t="s">
        <v>66</v>
      </c>
      <c r="I3" s="34" t="s">
        <v>67</v>
      </c>
      <c r="J3" s="85" t="s">
        <v>68</v>
      </c>
      <c r="K3" s="545" t="s">
        <v>69</v>
      </c>
      <c r="L3" s="546"/>
      <c r="M3" s="34" t="s">
        <v>70</v>
      </c>
      <c r="N3" s="34"/>
      <c r="O3" s="34" t="s">
        <v>71</v>
      </c>
      <c r="P3" s="34" t="s">
        <v>72</v>
      </c>
      <c r="Q3" s="34" t="s">
        <v>73</v>
      </c>
      <c r="R3" s="539" t="s">
        <v>74</v>
      </c>
      <c r="S3" s="539"/>
      <c r="T3" s="539" t="s">
        <v>75</v>
      </c>
      <c r="U3" s="539"/>
      <c r="V3" s="539" t="s">
        <v>76</v>
      </c>
      <c r="W3" s="539"/>
      <c r="X3" s="83" t="s">
        <v>77</v>
      </c>
      <c r="Y3" s="540" t="s">
        <v>78</v>
      </c>
      <c r="Z3" s="540"/>
      <c r="AA3" s="541" t="s">
        <v>79</v>
      </c>
      <c r="AB3" s="541"/>
      <c r="AC3" s="83" t="s">
        <v>80</v>
      </c>
    </row>
    <row r="4" spans="2:29" s="37" customFormat="1" ht="57" customHeight="1" thickBot="1" x14ac:dyDescent="0.35">
      <c r="B4" s="38" t="s">
        <v>81</v>
      </c>
      <c r="C4" s="38" t="s">
        <v>82</v>
      </c>
      <c r="D4" s="450" t="s">
        <v>83</v>
      </c>
      <c r="E4" s="39" t="s">
        <v>84</v>
      </c>
      <c r="F4" s="47" t="s">
        <v>85</v>
      </c>
      <c r="G4" s="44" t="s">
        <v>86</v>
      </c>
      <c r="H4" s="44" t="s">
        <v>87</v>
      </c>
      <c r="I4" s="44" t="s">
        <v>88</v>
      </c>
      <c r="J4" s="40" t="s">
        <v>89</v>
      </c>
      <c r="K4" s="40" t="s">
        <v>90</v>
      </c>
      <c r="L4" s="40" t="s">
        <v>91</v>
      </c>
      <c r="M4" s="40" t="s">
        <v>92</v>
      </c>
      <c r="N4" s="40" t="s">
        <v>479</v>
      </c>
      <c r="O4" s="40" t="s">
        <v>93</v>
      </c>
      <c r="P4" s="40" t="s">
        <v>94</v>
      </c>
      <c r="Q4" s="40" t="s">
        <v>95</v>
      </c>
      <c r="R4" s="212" t="s">
        <v>96</v>
      </c>
      <c r="S4" s="212" t="s">
        <v>97</v>
      </c>
      <c r="T4" s="212" t="s">
        <v>98</v>
      </c>
      <c r="U4" s="212" t="s">
        <v>99</v>
      </c>
      <c r="V4" s="212" t="s">
        <v>100</v>
      </c>
      <c r="W4" s="212" t="s">
        <v>101</v>
      </c>
      <c r="X4" s="213" t="s">
        <v>474</v>
      </c>
      <c r="Y4" s="212" t="s">
        <v>102</v>
      </c>
      <c r="Z4" s="212" t="s">
        <v>103</v>
      </c>
      <c r="AA4" s="212" t="s">
        <v>104</v>
      </c>
      <c r="AB4" s="212" t="s">
        <v>105</v>
      </c>
      <c r="AC4" s="212" t="s">
        <v>106</v>
      </c>
    </row>
    <row r="5" spans="2:29" ht="19.95" customHeight="1" x14ac:dyDescent="0.3">
      <c r="B5" s="214" t="s">
        <v>107</v>
      </c>
      <c r="C5" s="215" t="s">
        <v>4</v>
      </c>
      <c r="D5" s="216" t="s">
        <v>108</v>
      </c>
      <c r="E5" s="217" t="s">
        <v>5</v>
      </c>
      <c r="F5" s="218">
        <f>Tablo142[[#This Row],[Verimlilik
%]]+Tablo142[[#This Row],[Net İşçilik Kapasite Kaybı %]]</f>
        <v>85.96170249061754</v>
      </c>
      <c r="G5" s="219">
        <f>(AC5+X5)/K5*100</f>
        <v>52.952490617536675</v>
      </c>
      <c r="H5" s="219">
        <f>Tablo142[[#This Row],[Duruş]]/Tablo142[[#This Row],[Net Kapasite Direkt]]*100</f>
        <v>33.009211873080858</v>
      </c>
      <c r="I5" s="219">
        <f>(Tablo142[[#This Row],[Net Kapasite Direkt]]-Tablo142[[#This Row],[Toplam Girilen İşçilik]])/Tablo142[[#This Row],[Net Kapasite Direkt]]*100</f>
        <v>14.038297509382467</v>
      </c>
      <c r="J5" s="220">
        <f>(V5+W5)/(T5+U5)*100</f>
        <v>4.0058022762776169</v>
      </c>
      <c r="K5" s="321">
        <f>T5-V5</f>
        <v>3908</v>
      </c>
      <c r="L5" s="221">
        <f>U5-W5</f>
        <v>393.5</v>
      </c>
      <c r="M5" s="222">
        <f t="shared" ref="M5:M19" si="0">(AA5+AB5)/(Y5+Z5)*100</f>
        <v>16.084199163405749</v>
      </c>
      <c r="N5" s="222">
        <f>Tablo142[[#This Row],[Ödünç İşçilik]]+Tablo142[[#This Row],[Üretilen Değer (Sap Verisi)]]</f>
        <v>2069.3833333333332</v>
      </c>
      <c r="O5" s="223">
        <f>SUMIFS(Tablo2[Ocak],Tablo2[BÖLÜM],Tablo142[[#This Row],[Bölüm]])/60</f>
        <v>1290</v>
      </c>
      <c r="P5" s="224">
        <f>AC5+O5+Tablo142[[#This Row],[Ödünç İşçilik]]</f>
        <v>3359.3833333333332</v>
      </c>
      <c r="Q5" s="224">
        <f>K5-P5</f>
        <v>548.61666666666679</v>
      </c>
      <c r="R5" s="207">
        <v>19</v>
      </c>
      <c r="S5" s="207">
        <v>2</v>
      </c>
      <c r="T5" s="207">
        <v>4015</v>
      </c>
      <c r="U5" s="207">
        <v>466</v>
      </c>
      <c r="V5" s="158">
        <v>107</v>
      </c>
      <c r="W5" s="207">
        <v>72.5</v>
      </c>
      <c r="X5" s="227"/>
      <c r="Y5" s="207">
        <v>3403</v>
      </c>
      <c r="Z5" s="207">
        <v>302.5</v>
      </c>
      <c r="AA5" s="207">
        <v>505</v>
      </c>
      <c r="AB5" s="207">
        <v>91</v>
      </c>
      <c r="AC5" s="228">
        <f>Sayfa1!E49</f>
        <v>2069.3833333333332</v>
      </c>
    </row>
    <row r="6" spans="2:29" ht="19.95" customHeight="1" x14ac:dyDescent="0.3">
      <c r="B6" s="229" t="s">
        <v>107</v>
      </c>
      <c r="C6" s="25" t="s">
        <v>4</v>
      </c>
      <c r="D6" s="26" t="s">
        <v>108</v>
      </c>
      <c r="E6" s="27" t="s">
        <v>46</v>
      </c>
      <c r="F6" s="46">
        <f>Tablo142[[#This Row],[Verimlilik
%]]+Tablo142[[#This Row],[Net İşçilik Kapasite Kaybı %]]</f>
        <v>105.56574671609684</v>
      </c>
      <c r="G6" s="43">
        <f t="shared" ref="G6:G38" si="1">(AC6+X6)/K6*100</f>
        <v>97.64089889697469</v>
      </c>
      <c r="H6" s="43">
        <f>Tablo142[[#This Row],[Duruş]]/Tablo142[[#This Row],[Net Kapasite Direkt]]*100</f>
        <v>7.9248478191221565</v>
      </c>
      <c r="I6" s="43">
        <f>(Tablo142[[#This Row],[Net Kapasite Direkt]]-Tablo142[[#This Row],[Toplam Girilen İşçilik]])/Tablo142[[#This Row],[Net Kapasite Direkt]]*100</f>
        <v>-5.5657467160968483</v>
      </c>
      <c r="J6" s="28">
        <f t="shared" ref="J6:J33" si="2">(V6+W6)/(T6+U6)*100</f>
        <v>3.5377632957058069</v>
      </c>
      <c r="K6" s="29">
        <f>T6-V6</f>
        <v>3641.5</v>
      </c>
      <c r="L6" s="29">
        <f>U6-W6</f>
        <v>503</v>
      </c>
      <c r="M6" s="30">
        <f>(AA6+AB6)/(Y6+Z6)*100</f>
        <v>21.78959741404643</v>
      </c>
      <c r="N6" s="30">
        <f>Tablo142[[#This Row],[Ödünç İşçilik]]+Tablo142[[#This Row],[Üretilen Değer (Sap Verisi)]]</f>
        <v>3555.5933333333332</v>
      </c>
      <c r="O6" s="61">
        <f>SUMIFS(Tablo2[Ocak],Tablo2[BÖLÜM],Tablo142[[#This Row],[Bölüm]])/60</f>
        <v>288.58333333333331</v>
      </c>
      <c r="P6" s="31">
        <f>AC6+O6+Tablo142[[#This Row],[Ödünç İşçilik]]</f>
        <v>3844.1766666666667</v>
      </c>
      <c r="Q6" s="31">
        <f t="shared" ref="Q6:Q10" si="3">K6-P6</f>
        <v>-202.67666666666673</v>
      </c>
      <c r="R6" s="207">
        <v>18</v>
      </c>
      <c r="S6" s="207">
        <v>2</v>
      </c>
      <c r="T6" s="207">
        <v>3780</v>
      </c>
      <c r="U6" s="207">
        <v>516.5</v>
      </c>
      <c r="V6" s="158">
        <v>138.5</v>
      </c>
      <c r="W6" s="207">
        <v>13.5</v>
      </c>
      <c r="X6" s="211"/>
      <c r="Y6" s="207">
        <v>3041.5</v>
      </c>
      <c r="Z6" s="207">
        <v>361.5</v>
      </c>
      <c r="AA6" s="207">
        <v>600</v>
      </c>
      <c r="AB6" s="207">
        <v>141.5</v>
      </c>
      <c r="AC6" s="230">
        <f>Sayfa1!E50</f>
        <v>3555.5933333333332</v>
      </c>
    </row>
    <row r="7" spans="2:29" ht="19.95" customHeight="1" x14ac:dyDescent="0.3">
      <c r="B7" s="229" t="s">
        <v>107</v>
      </c>
      <c r="C7" s="25" t="s">
        <v>4</v>
      </c>
      <c r="D7" s="26" t="s">
        <v>108</v>
      </c>
      <c r="E7" s="27" t="s">
        <v>13</v>
      </c>
      <c r="F7" s="46">
        <f>Tablo142[[#This Row],[Verimlilik
%]]+Tablo142[[#This Row],[Net İşçilik Kapasite Kaybı %]]</f>
        <v>87.660324266380812</v>
      </c>
      <c r="G7" s="43">
        <f t="shared" si="1"/>
        <v>83.105408906159269</v>
      </c>
      <c r="H7" s="43">
        <f>Tablo142[[#This Row],[Duruş]]/Tablo142[[#This Row],[Net Kapasite Direkt]]*100</f>
        <v>4.5549153602215373</v>
      </c>
      <c r="I7" s="43">
        <f>(Tablo142[[#This Row],[Net Kapasite Direkt]]-Tablo142[[#This Row],[Toplam Girilen İşçilik]])/Tablo142[[#This Row],[Net Kapasite Direkt]]*100</f>
        <v>12.339675733619186</v>
      </c>
      <c r="J7" s="28">
        <f t="shared" si="2"/>
        <v>5.4478651970100085</v>
      </c>
      <c r="K7" s="29">
        <f t="shared" ref="K7:K33" si="4">T7-V7</f>
        <v>3731.5</v>
      </c>
      <c r="L7" s="29">
        <f t="shared" ref="L7:L33" si="5">U7-W7</f>
        <v>0</v>
      </c>
      <c r="M7" s="30">
        <f t="shared" si="0"/>
        <v>16.974921630094045</v>
      </c>
      <c r="N7" s="30">
        <f>Tablo142[[#This Row],[Ödünç İşçilik]]+Tablo142[[#This Row],[Üretilen Değer (Sap Verisi)]]</f>
        <v>3101.0783333333334</v>
      </c>
      <c r="O7" s="61">
        <f>SUMIFS(Tablo2[Ocak],Tablo2[BÖLÜM],Tablo142[[#This Row],[Bölüm]])/60</f>
        <v>169.96666666666667</v>
      </c>
      <c r="P7" s="31">
        <f>AC7+O7+Tablo142[[#This Row],[Ödünç İşçilik]]</f>
        <v>3271.0450000000001</v>
      </c>
      <c r="Q7" s="31">
        <f t="shared" si="3"/>
        <v>460.45499999999993</v>
      </c>
      <c r="R7" s="207">
        <v>19</v>
      </c>
      <c r="S7" s="207"/>
      <c r="T7" s="207">
        <v>3946.5</v>
      </c>
      <c r="U7" s="207"/>
      <c r="V7" s="158">
        <v>215</v>
      </c>
      <c r="W7" s="207"/>
      <c r="X7" s="211">
        <v>115</v>
      </c>
      <c r="Y7" s="207">
        <v>3190</v>
      </c>
      <c r="Z7" s="207"/>
      <c r="AA7" s="207">
        <v>541.5</v>
      </c>
      <c r="AB7" s="207"/>
      <c r="AC7" s="230">
        <f>Sayfa1!E51</f>
        <v>2986.0783333333334</v>
      </c>
    </row>
    <row r="8" spans="2:29" ht="19.95" customHeight="1" x14ac:dyDescent="0.3">
      <c r="B8" s="229" t="s">
        <v>107</v>
      </c>
      <c r="C8" s="25" t="s">
        <v>4</v>
      </c>
      <c r="D8" s="26" t="s">
        <v>108</v>
      </c>
      <c r="E8" s="27" t="s">
        <v>9</v>
      </c>
      <c r="F8" s="46">
        <f>Tablo142[[#This Row],[Verimlilik
%]]+Tablo142[[#This Row],[Net İşçilik Kapasite Kaybı %]]</f>
        <v>84.068770441085476</v>
      </c>
      <c r="G8" s="43">
        <f>(AC8+X8)/K8*100</f>
        <v>80.944046671970298</v>
      </c>
      <c r="H8" s="43">
        <f>Tablo142[[#This Row],[Duruş]]/Tablo142[[#This Row],[Net Kapasite Direkt]]*100</f>
        <v>3.1247237691151772</v>
      </c>
      <c r="I8" s="43">
        <f>(Tablo142[[#This Row],[Net Kapasite Direkt]]-Tablo142[[#This Row],[Toplam Girilen İşçilik]])/Tablo142[[#This Row],[Net Kapasite Direkt]]*100</f>
        <v>15.931229558914517</v>
      </c>
      <c r="J8" s="28">
        <f t="shared" si="2"/>
        <v>0.89348695038796144</v>
      </c>
      <c r="K8" s="29">
        <f t="shared" si="4"/>
        <v>1885.5</v>
      </c>
      <c r="L8" s="29">
        <f t="shared" si="5"/>
        <v>222</v>
      </c>
      <c r="M8" s="30">
        <f t="shared" si="0"/>
        <v>19.846460051179982</v>
      </c>
      <c r="N8" s="30">
        <f>Tablo142[[#This Row],[Ödünç İşçilik]]+Tablo142[[#This Row],[Üretilen Değer (Sap Verisi)]]</f>
        <v>1526.2</v>
      </c>
      <c r="O8" s="61">
        <f>SUMIFS(Tablo2[Ocak],Tablo2[BÖLÜM],Tablo142[[#This Row],[Bölüm]])/60</f>
        <v>58.916666666666664</v>
      </c>
      <c r="P8" s="31">
        <f>AC8+O8+Tablo142[[#This Row],[Ödünç İşçilik]]</f>
        <v>1585.1166666666668</v>
      </c>
      <c r="Q8" s="31">
        <f t="shared" si="3"/>
        <v>300.38333333333321</v>
      </c>
      <c r="R8" s="207">
        <v>9</v>
      </c>
      <c r="S8" s="207">
        <v>1</v>
      </c>
      <c r="T8" s="207">
        <v>1902</v>
      </c>
      <c r="U8" s="207">
        <v>224.5</v>
      </c>
      <c r="V8" s="158">
        <v>16.5</v>
      </c>
      <c r="W8" s="207">
        <v>2.5</v>
      </c>
      <c r="X8" s="211">
        <v>139</v>
      </c>
      <c r="Y8" s="207">
        <v>1573.5</v>
      </c>
      <c r="Z8" s="207">
        <v>185</v>
      </c>
      <c r="AA8" s="207">
        <v>312</v>
      </c>
      <c r="AB8" s="207">
        <v>37</v>
      </c>
      <c r="AC8" s="230">
        <f>Sayfa1!E52</f>
        <v>1387.2</v>
      </c>
    </row>
    <row r="9" spans="2:29" ht="19.95" customHeight="1" x14ac:dyDescent="0.3">
      <c r="B9" s="229" t="s">
        <v>107</v>
      </c>
      <c r="C9" s="25" t="s">
        <v>4</v>
      </c>
      <c r="D9" s="26" t="s">
        <v>108</v>
      </c>
      <c r="E9" s="27" t="s">
        <v>32</v>
      </c>
      <c r="F9" s="46">
        <f>Tablo142[[#This Row],[Verimlilik
%]]+Tablo142[[#This Row],[Net İşçilik Kapasite Kaybı %]]</f>
        <v>8.035573749682662</v>
      </c>
      <c r="G9" s="43">
        <f t="shared" si="1"/>
        <v>8.035573749682662</v>
      </c>
      <c r="H9" s="43">
        <f>Tablo142[[#This Row],[Duruş]]/Tablo142[[#This Row],[Net Kapasite Direkt]]*100</f>
        <v>0</v>
      </c>
      <c r="I9" s="43">
        <f>(Tablo142[[#This Row],[Net Kapasite Direkt]]-Tablo142[[#This Row],[Toplam Girilen İşçilik]])/Tablo142[[#This Row],[Net Kapasite Direkt]]*100</f>
        <v>91.964426250317331</v>
      </c>
      <c r="J9" s="28">
        <f>(V9+W9)/(T9+U9)*100</f>
        <v>1.7950635751682871</v>
      </c>
      <c r="K9" s="29">
        <f>T9-V9</f>
        <v>2626</v>
      </c>
      <c r="L9" s="29">
        <f>U9-W9</f>
        <v>0</v>
      </c>
      <c r="M9" s="30">
        <f t="shared" si="0"/>
        <v>19.255222524977295</v>
      </c>
      <c r="N9" s="30">
        <f>Tablo142[[#This Row],[Ödünç İşçilik]]+Tablo142[[#This Row],[Üretilen Değer (Sap Verisi)]]</f>
        <v>211.01416666666668</v>
      </c>
      <c r="O9" s="61">
        <f>SUMIFS(Tablo2[Ocak],Tablo2[BÖLÜM],Tablo142[[#This Row],[Bölüm]])/60</f>
        <v>0</v>
      </c>
      <c r="P9" s="31">
        <f>AC9+O9+Tablo142[[#This Row],[Ödünç İşçilik]]</f>
        <v>211.01416666666668</v>
      </c>
      <c r="Q9" s="31">
        <f t="shared" si="3"/>
        <v>2414.9858333333332</v>
      </c>
      <c r="R9" s="207">
        <v>12</v>
      </c>
      <c r="S9" s="207"/>
      <c r="T9" s="207">
        <v>2674</v>
      </c>
      <c r="U9" s="207"/>
      <c r="V9" s="158">
        <v>48</v>
      </c>
      <c r="W9" s="207"/>
      <c r="X9" s="211">
        <v>100</v>
      </c>
      <c r="Y9" s="207">
        <v>2202</v>
      </c>
      <c r="Z9" s="207"/>
      <c r="AA9" s="207">
        <v>424</v>
      </c>
      <c r="AB9" s="207"/>
      <c r="AC9" s="230">
        <f>Sayfa1!E53</f>
        <v>111.01416666666668</v>
      </c>
    </row>
    <row r="10" spans="2:29" ht="19.95" customHeight="1" x14ac:dyDescent="0.3">
      <c r="B10" s="229" t="s">
        <v>107</v>
      </c>
      <c r="C10" s="25" t="s">
        <v>4</v>
      </c>
      <c r="D10" s="26" t="s">
        <v>108</v>
      </c>
      <c r="E10" s="27" t="s">
        <v>26</v>
      </c>
      <c r="F10" s="46">
        <f>Tablo142[[#This Row],[Verimlilik
%]]+Tablo142[[#This Row],[Net İşçilik Kapasite Kaybı %]]</f>
        <v>65.303994293865912</v>
      </c>
      <c r="G10" s="43">
        <f t="shared" si="1"/>
        <v>54.131859248692351</v>
      </c>
      <c r="H10" s="43">
        <f>Tablo142[[#This Row],[Duruş]]/Tablo142[[#This Row],[Net Kapasite Direkt]]*100</f>
        <v>11.17213504517356</v>
      </c>
      <c r="I10" s="43">
        <f>(Tablo142[[#This Row],[Net Kapasite Direkt]]-Tablo142[[#This Row],[Toplam Girilen İşçilik]])/Tablo142[[#This Row],[Net Kapasite Direkt]]*100</f>
        <v>34.696005706134088</v>
      </c>
      <c r="J10" s="28">
        <f t="shared" si="2"/>
        <v>2.9757785467128031</v>
      </c>
      <c r="K10" s="29">
        <f t="shared" si="4"/>
        <v>1402</v>
      </c>
      <c r="L10" s="29">
        <f t="shared" si="5"/>
        <v>0</v>
      </c>
      <c r="M10" s="30">
        <f t="shared" si="0"/>
        <v>29.57486136783734</v>
      </c>
      <c r="N10" s="30">
        <f>Tablo142[[#This Row],[Ödünç İşçilik]]+Tablo142[[#This Row],[Üretilen Değer (Sap Verisi)]]</f>
        <v>758.9286666666668</v>
      </c>
      <c r="O10" s="61">
        <f>SUMIFS(Tablo2[Ocak],Tablo2[BÖLÜM],Tablo142[[#This Row],[Bölüm]])/60</f>
        <v>156.63333333333333</v>
      </c>
      <c r="P10" s="31">
        <f>AC10+O10+Tablo142[[#This Row],[Ödünç İşçilik]]</f>
        <v>915.56200000000013</v>
      </c>
      <c r="Q10" s="31">
        <f t="shared" si="3"/>
        <v>486.43799999999987</v>
      </c>
      <c r="R10" s="207">
        <v>6</v>
      </c>
      <c r="S10" s="207"/>
      <c r="T10" s="207">
        <v>1445</v>
      </c>
      <c r="U10" s="207"/>
      <c r="V10" s="158">
        <v>43</v>
      </c>
      <c r="W10" s="207"/>
      <c r="X10" s="211"/>
      <c r="Y10" s="207">
        <v>1082</v>
      </c>
      <c r="Z10" s="207"/>
      <c r="AA10" s="207">
        <v>320</v>
      </c>
      <c r="AB10" s="207"/>
      <c r="AC10" s="230">
        <f>Sayfa1!E54</f>
        <v>758.9286666666668</v>
      </c>
    </row>
    <row r="11" spans="2:29" ht="19.95" customHeight="1" x14ac:dyDescent="0.3">
      <c r="B11" s="229" t="s">
        <v>107</v>
      </c>
      <c r="C11" s="25" t="s">
        <v>4</v>
      </c>
      <c r="D11" s="26" t="s">
        <v>108</v>
      </c>
      <c r="E11" s="27" t="s">
        <v>17</v>
      </c>
      <c r="F11" s="46">
        <f>Tablo142[[#This Row],[Verimlilik
%]]+Tablo142[[#This Row],[Net İşçilik Kapasite Kaybı %]]</f>
        <v>74.731982164572344</v>
      </c>
      <c r="G11" s="43">
        <f>(AC11+X11)/K11*100</f>
        <v>64.24691257938116</v>
      </c>
      <c r="H11" s="43">
        <f>Tablo142[[#This Row],[Duruş]]/Tablo142[[#This Row],[Net Kapasite Direkt]]*100</f>
        <v>10.485069585191191</v>
      </c>
      <c r="I11" s="43">
        <f>(Tablo142[[#This Row],[Net Kapasite Direkt]]-Tablo142[[#This Row],[Toplam Girilen İşçilik]])/Tablo142[[#This Row],[Net Kapasite Direkt]]*100</f>
        <v>25.268017835427635</v>
      </c>
      <c r="J11" s="28">
        <f t="shared" si="2"/>
        <v>3.6237738026543562</v>
      </c>
      <c r="K11" s="29">
        <f>T11-V11</f>
        <v>2467</v>
      </c>
      <c r="L11" s="29">
        <f t="shared" si="5"/>
        <v>1708.5</v>
      </c>
      <c r="M11" s="30">
        <f t="shared" si="0"/>
        <v>21.275050827766485</v>
      </c>
      <c r="N11" s="30">
        <f>Tablo142[[#This Row],[Ödünç İşçilik]]+Tablo142[[#This Row],[Üretilen Değer (Sap Verisi)]]</f>
        <v>1584.9713333333334</v>
      </c>
      <c r="O11" s="61">
        <f>SUMIFS(Tablo2[Ocak],Tablo2[BÖLÜM],Tablo142[[#This Row],[Bölüm]])/60</f>
        <v>258.66666666666669</v>
      </c>
      <c r="P11" s="31">
        <f>AC11+O11+Tablo142[[#This Row],[Ödünç İşçilik]]</f>
        <v>1843.6380000000001</v>
      </c>
      <c r="Q11" s="31">
        <f t="shared" ref="Q11:Q17" si="6">K11-P11</f>
        <v>623.36199999999985</v>
      </c>
      <c r="R11" s="207">
        <v>12</v>
      </c>
      <c r="S11" s="207">
        <v>8</v>
      </c>
      <c r="T11" s="207">
        <v>2548.5</v>
      </c>
      <c r="U11" s="207">
        <v>1784</v>
      </c>
      <c r="V11" s="158">
        <v>81.5</v>
      </c>
      <c r="W11" s="207">
        <v>75.5</v>
      </c>
      <c r="X11" s="211"/>
      <c r="Y11" s="207">
        <v>2018.5</v>
      </c>
      <c r="Z11" s="207">
        <v>1424.5</v>
      </c>
      <c r="AA11" s="207">
        <v>448.5</v>
      </c>
      <c r="AB11" s="207">
        <v>284</v>
      </c>
      <c r="AC11" s="230">
        <f>Sayfa1!E64</f>
        <v>1584.9713333333334</v>
      </c>
    </row>
    <row r="12" spans="2:29" ht="19.95" customHeight="1" x14ac:dyDescent="0.3">
      <c r="B12" s="229" t="s">
        <v>107</v>
      </c>
      <c r="C12" s="25" t="s">
        <v>4</v>
      </c>
      <c r="D12" s="26" t="s">
        <v>108</v>
      </c>
      <c r="E12" s="27" t="s">
        <v>29</v>
      </c>
      <c r="F12" s="46">
        <f>Tablo142[[#This Row],[Verimlilik
%]]+Tablo142[[#This Row],[Net İşçilik Kapasite Kaybı %]]</f>
        <v>67.578628722382334</v>
      </c>
      <c r="G12" s="43">
        <f t="shared" si="1"/>
        <v>67.578628722382334</v>
      </c>
      <c r="H12" s="43">
        <f>Tablo142[[#This Row],[Duruş]]/Tablo142[[#This Row],[Net Kapasite Direkt]]*100</f>
        <v>0</v>
      </c>
      <c r="I12" s="43">
        <f>(Tablo142[[#This Row],[Net Kapasite Direkt]]-Tablo142[[#This Row],[Toplam Girilen İşçilik]])/Tablo142[[#This Row],[Net Kapasite Direkt]]*100</f>
        <v>32.421371277617666</v>
      </c>
      <c r="J12" s="28">
        <f t="shared" si="2"/>
        <v>5.3963278101209138</v>
      </c>
      <c r="K12" s="29">
        <f t="shared" si="4"/>
        <v>1388</v>
      </c>
      <c r="L12" s="29">
        <f t="shared" si="5"/>
        <v>724.5</v>
      </c>
      <c r="M12" s="30">
        <f t="shared" si="0"/>
        <v>34.811742182514358</v>
      </c>
      <c r="N12" s="30">
        <f>Tablo142[[#This Row],[Ödünç İşçilik]]+Tablo142[[#This Row],[Üretilen Değer (Sap Verisi)]]</f>
        <v>937.99136666666675</v>
      </c>
      <c r="O12" s="61">
        <f>SUMIFS(Tablo2[Ocak],Tablo2[BÖLÜM],Tablo142[[#This Row],[Bölüm]])/60</f>
        <v>0</v>
      </c>
      <c r="P12" s="31">
        <f>AC12+O12+Tablo142[[#This Row],[Ödünç İşçilik]]</f>
        <v>937.99136666666675</v>
      </c>
      <c r="Q12" s="31">
        <f t="shared" si="6"/>
        <v>450.00863333333325</v>
      </c>
      <c r="R12" s="207">
        <v>6</v>
      </c>
      <c r="S12" s="207">
        <v>3</v>
      </c>
      <c r="T12" s="207">
        <v>1494</v>
      </c>
      <c r="U12" s="207">
        <v>739</v>
      </c>
      <c r="V12" s="158">
        <v>106</v>
      </c>
      <c r="W12" s="207">
        <v>14.5</v>
      </c>
      <c r="X12" s="211"/>
      <c r="Y12" s="207">
        <v>1019</v>
      </c>
      <c r="Z12" s="207">
        <v>548</v>
      </c>
      <c r="AA12" s="207">
        <v>369</v>
      </c>
      <c r="AB12" s="207">
        <v>176.5</v>
      </c>
      <c r="AC12" s="230">
        <f>Sayfa1!E65</f>
        <v>937.99136666666675</v>
      </c>
    </row>
    <row r="13" spans="2:29" ht="19.95" customHeight="1" x14ac:dyDescent="0.3">
      <c r="B13" s="229" t="s">
        <v>107</v>
      </c>
      <c r="C13" s="25" t="s">
        <v>4</v>
      </c>
      <c r="D13" s="26" t="s">
        <v>108</v>
      </c>
      <c r="E13" s="27" t="s">
        <v>43</v>
      </c>
      <c r="F13" s="46">
        <f>Tablo142[[#This Row],[Verimlilik
%]]+Tablo142[[#This Row],[Net İşçilik Kapasite Kaybı %]]</f>
        <v>82.607478724938701</v>
      </c>
      <c r="G13" s="43">
        <f t="shared" si="1"/>
        <v>73.8378263378047</v>
      </c>
      <c r="H13" s="43">
        <f>Tablo142[[#This Row],[Duruş]]/Tablo142[[#This Row],[Net Kapasite Direkt]]*100</f>
        <v>8.7696523871339966</v>
      </c>
      <c r="I13" s="43">
        <f>(Tablo142[[#This Row],[Net Kapasite Direkt]]-Tablo142[[#This Row],[Toplam Girilen İşçilik]])/Tablo142[[#This Row],[Net Kapasite Direkt]]*100</f>
        <v>17.392521275061291</v>
      </c>
      <c r="J13" s="28">
        <f t="shared" si="2"/>
        <v>3.7339353942341091</v>
      </c>
      <c r="K13" s="29">
        <f t="shared" si="4"/>
        <v>2311</v>
      </c>
      <c r="L13" s="29">
        <f t="shared" si="5"/>
        <v>460.5</v>
      </c>
      <c r="M13" s="30">
        <f t="shared" si="0"/>
        <v>16.694736842105261</v>
      </c>
      <c r="N13" s="30">
        <f>Tablo142[[#This Row],[Ödünç İşçilik]]+Tablo142[[#This Row],[Üretilen Değer (Sap Verisi)]]</f>
        <v>1706.3921666666668</v>
      </c>
      <c r="O13" s="61">
        <f>SUMIFS(Tablo2[Ocak],Tablo2[BÖLÜM],Tablo142[[#This Row],[Bölüm]])/60</f>
        <v>202.66666666666666</v>
      </c>
      <c r="P13" s="31">
        <f>AC13+O13+Tablo142[[#This Row],[Ödünç İşçilik]]</f>
        <v>1909.0588333333335</v>
      </c>
      <c r="Q13" s="31">
        <f t="shared" si="6"/>
        <v>401.9411666666665</v>
      </c>
      <c r="R13" s="207">
        <v>12</v>
      </c>
      <c r="S13" s="207">
        <v>2</v>
      </c>
      <c r="T13" s="207">
        <v>2403.5</v>
      </c>
      <c r="U13" s="207">
        <v>475.5</v>
      </c>
      <c r="V13" s="158">
        <v>92.5</v>
      </c>
      <c r="W13" s="207">
        <v>15</v>
      </c>
      <c r="X13" s="211"/>
      <c r="Y13" s="207">
        <v>2015</v>
      </c>
      <c r="Z13" s="207">
        <v>360</v>
      </c>
      <c r="AA13" s="207">
        <v>296</v>
      </c>
      <c r="AB13" s="207">
        <v>100.5</v>
      </c>
      <c r="AC13" s="230">
        <f>Sayfa1!E68</f>
        <v>1706.3921666666668</v>
      </c>
    </row>
    <row r="14" spans="2:29" ht="19.95" customHeight="1" x14ac:dyDescent="0.3">
      <c r="B14" s="229" t="s">
        <v>107</v>
      </c>
      <c r="C14" s="25" t="s">
        <v>4</v>
      </c>
      <c r="D14" s="26" t="s">
        <v>108</v>
      </c>
      <c r="E14" s="27" t="s">
        <v>19</v>
      </c>
      <c r="F14" s="46">
        <f>Tablo142[[#This Row],[Verimlilik
%]]+Tablo142[[#This Row],[Net İşçilik Kapasite Kaybı %]]</f>
        <v>56.863012585532729</v>
      </c>
      <c r="G14" s="89">
        <f>(AC14+X14)/K14*100</f>
        <v>47.100060483870948</v>
      </c>
      <c r="H14" s="43">
        <f>Tablo142[[#This Row],[Duruş]]/Tablo142[[#This Row],[Net Kapasite Direkt]]*100</f>
        <v>9.762952101661778</v>
      </c>
      <c r="I14" s="389">
        <f>(Tablo142[[#This Row],[Net Kapasite Direkt]]-Tablo142[[#This Row],[Toplam Girilen İşçilik]])/Tablo142[[#This Row],[Net Kapasite Direkt]]*100</f>
        <v>43.136987414467278</v>
      </c>
      <c r="J14" s="28">
        <f t="shared" si="2"/>
        <v>3.0893821235752847</v>
      </c>
      <c r="K14" s="29">
        <f t="shared" si="4"/>
        <v>2728</v>
      </c>
      <c r="L14" s="29">
        <f t="shared" si="5"/>
        <v>503</v>
      </c>
      <c r="M14" s="30">
        <f t="shared" si="0"/>
        <v>28.112609040444092</v>
      </c>
      <c r="N14" s="390">
        <f>Tablo142[[#This Row],[Ödünç İşçilik]]+Tablo142[[#This Row],[Üretilen Değer (Sap Verisi)]]</f>
        <v>1284.8896499999994</v>
      </c>
      <c r="O14" s="61">
        <f>SUMIFS(Tablo2[Ocak],Tablo2[BÖLÜM],Tablo142[[#This Row],[Bölüm]])/60</f>
        <v>266.33333333333331</v>
      </c>
      <c r="P14" s="31">
        <f>AC14+O14+Tablo142[[#This Row],[Ödünç İşçilik]]</f>
        <v>1551.2229833333326</v>
      </c>
      <c r="Q14" s="31">
        <f t="shared" si="6"/>
        <v>1176.7770166666674</v>
      </c>
      <c r="R14" s="396">
        <v>12</v>
      </c>
      <c r="S14" s="396">
        <v>2</v>
      </c>
      <c r="T14" s="396">
        <v>2825</v>
      </c>
      <c r="U14" s="396">
        <v>509</v>
      </c>
      <c r="V14" s="397">
        <v>97</v>
      </c>
      <c r="W14" s="396">
        <v>6</v>
      </c>
      <c r="X14" s="395"/>
      <c r="Y14" s="396">
        <v>2153</v>
      </c>
      <c r="Z14" s="396">
        <v>369</v>
      </c>
      <c r="AA14" s="396">
        <v>575</v>
      </c>
      <c r="AB14" s="396">
        <v>134</v>
      </c>
      <c r="AC14" s="398">
        <v>1284.8896499999994</v>
      </c>
    </row>
    <row r="15" spans="2:29" ht="19.95" customHeight="1" x14ac:dyDescent="0.3">
      <c r="B15" s="229" t="s">
        <v>107</v>
      </c>
      <c r="C15" s="25" t="s">
        <v>4</v>
      </c>
      <c r="D15" s="26" t="s">
        <v>25</v>
      </c>
      <c r="E15" s="27" t="s">
        <v>40</v>
      </c>
      <c r="F15" s="46">
        <f>Tablo142[[#This Row],[Verimlilik
%]]+Tablo142[[#This Row],[Net İşçilik Kapasite Kaybı %]]</f>
        <v>105.3402896712126</v>
      </c>
      <c r="G15" s="43">
        <f t="shared" si="1"/>
        <v>95.550671318321179</v>
      </c>
      <c r="H15" s="43">
        <f>Tablo142[[#This Row],[Duruş]]/Tablo142[[#This Row],[Net Kapasite Direkt]]*100</f>
        <v>9.7896183528914271</v>
      </c>
      <c r="I15" s="43">
        <f>(Tablo142[[#This Row],[Net Kapasite Direkt]]-Tablo142[[#This Row],[Toplam Girilen İşçilik]])/Tablo142[[#This Row],[Net Kapasite Direkt]]*100</f>
        <v>-5.3402896712126013</v>
      </c>
      <c r="J15" s="28">
        <f>(V15+W15)/(T15+U15)*100</f>
        <v>2.7977044476327118</v>
      </c>
      <c r="K15" s="29">
        <f>T15-V15</f>
        <v>1576.5</v>
      </c>
      <c r="L15" s="29">
        <f t="shared" si="5"/>
        <v>1133.5</v>
      </c>
      <c r="M15" s="30">
        <f>(AA15+AB15)/(Y15+Z15)*100</f>
        <v>24.769797421731123</v>
      </c>
      <c r="N15" s="30">
        <f>Tablo142[[#This Row],[Ödünç İşçilik]]+Tablo142[[#This Row],[Üretilen Değer (Sap Verisi)]]</f>
        <v>1506.3563333333334</v>
      </c>
      <c r="O15" s="61">
        <f>SUMIFS(Tablo2[Ocak],Tablo2[BÖLÜM],Tablo142[[#This Row],[Bölüm]])/60</f>
        <v>154.33333333333334</v>
      </c>
      <c r="P15" s="31">
        <f>AC15+O15+Tablo142[[#This Row],[Ödünç İşçilik]]</f>
        <v>1660.6896666666667</v>
      </c>
      <c r="Q15" s="31">
        <f>K15-P15</f>
        <v>-84.189666666666653</v>
      </c>
      <c r="R15" s="207">
        <v>7</v>
      </c>
      <c r="S15" s="207">
        <v>5</v>
      </c>
      <c r="T15" s="207">
        <v>1622.5</v>
      </c>
      <c r="U15" s="207">
        <v>1165.5</v>
      </c>
      <c r="V15" s="158">
        <v>46</v>
      </c>
      <c r="W15" s="207">
        <v>32</v>
      </c>
      <c r="X15" s="211">
        <f>15460/60</f>
        <v>257.66666666666669</v>
      </c>
      <c r="Y15" s="207">
        <v>1266.5</v>
      </c>
      <c r="Z15" s="207">
        <v>905.5</v>
      </c>
      <c r="AA15" s="207">
        <v>310</v>
      </c>
      <c r="AB15" s="207">
        <v>228</v>
      </c>
      <c r="AC15" s="230">
        <f>Sayfa1!E69</f>
        <v>1248.6896666666667</v>
      </c>
    </row>
    <row r="16" spans="2:29" ht="19.95" customHeight="1" x14ac:dyDescent="0.3">
      <c r="B16" s="229" t="s">
        <v>107</v>
      </c>
      <c r="C16" s="25" t="s">
        <v>4</v>
      </c>
      <c r="D16" s="26" t="s">
        <v>25</v>
      </c>
      <c r="E16" s="27" t="s">
        <v>35</v>
      </c>
      <c r="F16" s="46">
        <f>Tablo142[[#This Row],[Verimlilik
%]]+Tablo142[[#This Row],[Net İşçilik Kapasite Kaybı %]]</f>
        <v>93.941817750918361</v>
      </c>
      <c r="G16" s="43">
        <f t="shared" si="1"/>
        <v>78.584547932219465</v>
      </c>
      <c r="H16" s="43">
        <f>Tablo142[[#This Row],[Duruş]]/Tablo142[[#This Row],[Net Kapasite Direkt]]*100</f>
        <v>15.357269818698899</v>
      </c>
      <c r="I16" s="43">
        <f>(Tablo142[[#This Row],[Net Kapasite Direkt]]-Tablo142[[#This Row],[Toplam Girilen İşçilik]])/Tablo142[[#This Row],[Net Kapasite Direkt]]*100</f>
        <v>6.0581822490816393</v>
      </c>
      <c r="J16" s="28">
        <f t="shared" si="2"/>
        <v>3.2834331337325349</v>
      </c>
      <c r="K16" s="29">
        <f t="shared" si="4"/>
        <v>2813</v>
      </c>
      <c r="L16" s="29">
        <f t="shared" si="5"/>
        <v>2032.5</v>
      </c>
      <c r="M16" s="30">
        <f t="shared" si="0"/>
        <v>22.345663426335058</v>
      </c>
      <c r="N16" s="30">
        <f>Tablo142[[#This Row],[Ödünç İşçilik]]+Tablo142[[#This Row],[Üretilen Değer (Sap Verisi)]]</f>
        <v>2210.5833333333335</v>
      </c>
      <c r="O16" s="61">
        <f>SUMIFS(Tablo2[Ocak],Tablo2[BÖLÜM],Tablo142[[#This Row],[Bölüm]])/60</f>
        <v>432</v>
      </c>
      <c r="P16" s="31">
        <f>AC16+O16+Tablo142[[#This Row],[Ödünç İşçilik]]</f>
        <v>2642.5833333333335</v>
      </c>
      <c r="Q16" s="31">
        <f t="shared" si="6"/>
        <v>170.41666666666652</v>
      </c>
      <c r="R16" s="207">
        <v>13</v>
      </c>
      <c r="S16" s="207">
        <v>9</v>
      </c>
      <c r="T16" s="207">
        <v>2915</v>
      </c>
      <c r="U16" s="207">
        <v>2095</v>
      </c>
      <c r="V16" s="158">
        <v>102</v>
      </c>
      <c r="W16" s="207">
        <v>62.5</v>
      </c>
      <c r="X16" s="211">
        <v>120</v>
      </c>
      <c r="Y16" s="207">
        <v>2335.5</v>
      </c>
      <c r="Z16" s="207">
        <v>1625</v>
      </c>
      <c r="AA16" s="207">
        <v>477.5</v>
      </c>
      <c r="AB16" s="207">
        <v>407.5</v>
      </c>
      <c r="AC16" s="230">
        <f>Sayfa1!E70</f>
        <v>2090.5833333333335</v>
      </c>
    </row>
    <row r="17" spans="2:29" ht="19.95" customHeight="1" x14ac:dyDescent="0.3">
      <c r="B17" s="229" t="s">
        <v>107</v>
      </c>
      <c r="C17" s="25" t="s">
        <v>4</v>
      </c>
      <c r="D17" s="26" t="s">
        <v>25</v>
      </c>
      <c r="E17" s="27" t="s">
        <v>25</v>
      </c>
      <c r="F17" s="46">
        <f>Tablo142[[#This Row],[Verimlilik
%]]+Tablo142[[#This Row],[Net İşçilik Kapasite Kaybı %]]</f>
        <v>45.288586855334202</v>
      </c>
      <c r="G17" s="43">
        <f t="shared" si="1"/>
        <v>45.288586855334202</v>
      </c>
      <c r="H17" s="43">
        <f>Tablo142[[#This Row],[Duruş]]/Tablo142[[#This Row],[Net Kapasite Direkt]]*100</f>
        <v>0</v>
      </c>
      <c r="I17" s="43">
        <f>(Tablo142[[#This Row],[Net Kapasite Direkt]]-Tablo142[[#This Row],[Toplam Girilen İşçilik]])/Tablo142[[#This Row],[Net Kapasite Direkt]]*100</f>
        <v>54.711413144665798</v>
      </c>
      <c r="J17" s="28">
        <f t="shared" si="2"/>
        <v>5.2751382013946602</v>
      </c>
      <c r="K17" s="29">
        <f t="shared" si="4"/>
        <v>10742</v>
      </c>
      <c r="L17" s="29">
        <f t="shared" si="5"/>
        <v>2366.5</v>
      </c>
      <c r="M17" s="30">
        <f t="shared" si="0"/>
        <v>19.086986145809675</v>
      </c>
      <c r="N17" s="30">
        <f>Tablo142[[#This Row],[Ödünç İşçilik]]+Tablo142[[#This Row],[Üretilen Değer (Sap Verisi)]]</f>
        <v>4864.8999999999996</v>
      </c>
      <c r="O17" s="61">
        <f>SUMIFS(Tablo2[Ocak],Tablo2[BÖLÜM],Tablo142[[#This Row],[Bölüm]])/60</f>
        <v>0</v>
      </c>
      <c r="P17" s="31">
        <f>AC17+O17+Tablo142[[#This Row],[Ödünç İşçilik]]</f>
        <v>4864.8999999999996</v>
      </c>
      <c r="Q17" s="31">
        <f t="shared" si="6"/>
        <v>5877.1</v>
      </c>
      <c r="R17" s="207">
        <v>53</v>
      </c>
      <c r="S17" s="207">
        <v>11</v>
      </c>
      <c r="T17" s="207">
        <v>11366.5</v>
      </c>
      <c r="U17" s="207">
        <v>2472</v>
      </c>
      <c r="V17" s="158">
        <v>624.5</v>
      </c>
      <c r="W17" s="207">
        <v>105.5</v>
      </c>
      <c r="X17" s="211"/>
      <c r="Y17" s="207">
        <v>9050.5</v>
      </c>
      <c r="Z17" s="207">
        <v>1957</v>
      </c>
      <c r="AA17" s="207">
        <v>1691.5</v>
      </c>
      <c r="AB17" s="207">
        <v>409.5</v>
      </c>
      <c r="AC17" s="230">
        <f>Sayfa1!E71</f>
        <v>4864.8999999999996</v>
      </c>
    </row>
    <row r="18" spans="2:29" ht="19.95" customHeight="1" x14ac:dyDescent="0.3">
      <c r="B18" s="229" t="s">
        <v>107</v>
      </c>
      <c r="C18" s="25" t="s">
        <v>4</v>
      </c>
      <c r="D18" s="26" t="s">
        <v>25</v>
      </c>
      <c r="E18" s="27" t="s">
        <v>23</v>
      </c>
      <c r="F18" s="46">
        <f>Tablo142[[#This Row],[Verimlilik
%]]+Tablo142[[#This Row],[Net İşçilik Kapasite Kaybı %]]</f>
        <v>46.693010752688167</v>
      </c>
      <c r="G18" s="43">
        <f t="shared" si="1"/>
        <v>46.693010752688167</v>
      </c>
      <c r="H18" s="43">
        <f>Tablo142[[#This Row],[Duruş]]/Tablo142[[#This Row],[Net Kapasite Direkt]]*100</f>
        <v>0</v>
      </c>
      <c r="I18" s="43">
        <f>(Tablo142[[#This Row],[Net Kapasite Direkt]]-Tablo142[[#This Row],[Toplam Girilen İşçilik]])/Tablo142[[#This Row],[Net Kapasite Direkt]]*100</f>
        <v>53.306989247311833</v>
      </c>
      <c r="J18" s="28">
        <f t="shared" si="2"/>
        <v>3.5236081747709656</v>
      </c>
      <c r="K18" s="29">
        <f t="shared" si="4"/>
        <v>1116</v>
      </c>
      <c r="L18" s="29">
        <f t="shared" si="5"/>
        <v>253</v>
      </c>
      <c r="M18" s="30">
        <f t="shared" si="0"/>
        <v>40.051150895140665</v>
      </c>
      <c r="N18" s="30">
        <f>Tablo142[[#This Row],[Ödünç İşçilik]]+Tablo142[[#This Row],[Üretilen Değer (Sap Verisi)]]</f>
        <v>521.09399999999994</v>
      </c>
      <c r="O18" s="61">
        <f>SUMIFS(Tablo2[Ocak],Tablo2[BÖLÜM],Tablo142[[#This Row],[Bölüm]])/60</f>
        <v>0</v>
      </c>
      <c r="P18" s="31">
        <f>AC18+O18+Tablo142[[#This Row],[Ödünç İşçilik]]</f>
        <v>521.09399999999994</v>
      </c>
      <c r="Q18" s="31">
        <f>K18-P18</f>
        <v>594.90600000000006</v>
      </c>
      <c r="R18" s="207">
        <v>5</v>
      </c>
      <c r="S18" s="207">
        <v>1</v>
      </c>
      <c r="T18" s="207">
        <v>1151</v>
      </c>
      <c r="U18" s="207">
        <v>268</v>
      </c>
      <c r="V18" s="158">
        <v>35</v>
      </c>
      <c r="W18" s="207">
        <v>15</v>
      </c>
      <c r="X18" s="211"/>
      <c r="Y18" s="207">
        <v>805</v>
      </c>
      <c r="Z18" s="207">
        <v>172.5</v>
      </c>
      <c r="AA18" s="207">
        <v>311</v>
      </c>
      <c r="AB18" s="207">
        <v>80.5</v>
      </c>
      <c r="AC18" s="230">
        <f>Sayfa1!E72</f>
        <v>521.09399999999994</v>
      </c>
    </row>
    <row r="19" spans="2:29" ht="19.95" customHeight="1" thickBot="1" x14ac:dyDescent="0.35">
      <c r="B19" s="229" t="s">
        <v>107</v>
      </c>
      <c r="C19" s="25" t="s">
        <v>4</v>
      </c>
      <c r="D19" s="26" t="s">
        <v>25</v>
      </c>
      <c r="E19" s="27" t="s">
        <v>20</v>
      </c>
      <c r="F19" s="46">
        <f>Tablo142[[#This Row],[Verimlilik
%]]+Tablo142[[#This Row],[Net İşçilik Kapasite Kaybı %]]</f>
        <v>44.327199899862315</v>
      </c>
      <c r="G19" s="43">
        <f t="shared" si="1"/>
        <v>44.327199899862315</v>
      </c>
      <c r="H19" s="43">
        <f>Tablo142[[#This Row],[Duruş]]/Tablo142[[#This Row],[Net Kapasite Direkt]]*100</f>
        <v>0</v>
      </c>
      <c r="I19" s="43">
        <f>(Tablo142[[#This Row],[Net Kapasite Direkt]]-Tablo142[[#This Row],[Toplam Girilen İşçilik]])/Tablo142[[#This Row],[Net Kapasite Direkt]]*100</f>
        <v>55.672800100137685</v>
      </c>
      <c r="J19" s="28">
        <f t="shared" si="2"/>
        <v>2.9100191448627952</v>
      </c>
      <c r="K19" s="29">
        <f t="shared" si="4"/>
        <v>2663</v>
      </c>
      <c r="L19" s="29">
        <f t="shared" si="5"/>
        <v>1140.5</v>
      </c>
      <c r="M19" s="30">
        <f t="shared" si="0"/>
        <v>29.767997270556123</v>
      </c>
      <c r="N19" s="30">
        <f>Tablo142[[#This Row],[Ödünç İşçilik]]+Tablo142[[#This Row],[Üretilen Değer (Sap Verisi)]]</f>
        <v>1180.4333333333334</v>
      </c>
      <c r="O19" s="61">
        <f>SUMIFS(Tablo2[Ocak],Tablo2[BÖLÜM],Tablo142[[#This Row],[Bölüm]])/60</f>
        <v>0</v>
      </c>
      <c r="P19" s="31">
        <f>AC19+O19+Tablo142[[#This Row],[Ödünç İşçilik]]</f>
        <v>1180.4333333333334</v>
      </c>
      <c r="Q19" s="31">
        <f>K19-P19</f>
        <v>1482.5666666666666</v>
      </c>
      <c r="R19" s="325">
        <v>12</v>
      </c>
      <c r="S19" s="325">
        <v>5</v>
      </c>
      <c r="T19" s="325">
        <v>2723</v>
      </c>
      <c r="U19" s="325">
        <v>1194.5</v>
      </c>
      <c r="V19" s="326">
        <v>60</v>
      </c>
      <c r="W19" s="325">
        <v>54</v>
      </c>
      <c r="X19" s="327"/>
      <c r="Y19" s="325">
        <v>2047.5</v>
      </c>
      <c r="Z19" s="325">
        <v>883.5</v>
      </c>
      <c r="AA19" s="325">
        <v>615.5</v>
      </c>
      <c r="AB19" s="325">
        <v>257</v>
      </c>
      <c r="AC19" s="328">
        <f>Sayfa1!E73</f>
        <v>1180.4333333333334</v>
      </c>
    </row>
    <row r="20" spans="2:29" ht="19.95" customHeight="1" x14ac:dyDescent="0.3">
      <c r="B20" s="214" t="s">
        <v>109</v>
      </c>
      <c r="C20" s="215" t="s">
        <v>4</v>
      </c>
      <c r="D20" s="216" t="s">
        <v>108</v>
      </c>
      <c r="E20" s="217" t="s">
        <v>5</v>
      </c>
      <c r="F20" s="218">
        <f>Tablo142[[#This Row],[Verimlilik
%]]+Tablo142[[#This Row],[Net İşçilik Kapasite Kaybı %]]</f>
        <v>79.785014449848461</v>
      </c>
      <c r="G20" s="219">
        <f t="shared" si="1"/>
        <v>79.785014449848461</v>
      </c>
      <c r="H20" s="219">
        <f>Tablo142[[#This Row],[Duruş]]/Tablo142[[#This Row],[Net Kapasite Direkt]]*100</f>
        <v>0</v>
      </c>
      <c r="I20" s="219">
        <f>(Tablo142[[#This Row],[Net Kapasite Direkt]]-Tablo142[[#This Row],[Toplam Girilen İşçilik]])/Tablo142[[#This Row],[Net Kapasite Direkt]]*100</f>
        <v>20.21498555015155</v>
      </c>
      <c r="J20" s="220">
        <f t="shared" si="2"/>
        <v>2.3077650619502506</v>
      </c>
      <c r="K20" s="221">
        <f t="shared" si="4"/>
        <v>4729</v>
      </c>
      <c r="L20" s="221">
        <f t="shared" si="5"/>
        <v>435.5</v>
      </c>
      <c r="M20" s="222">
        <f t="shared" ref="M20:M33" si="7">(AA20+AB20)/(Y20+Z20)*100</f>
        <v>34.562272016675351</v>
      </c>
      <c r="N20" s="222">
        <f>Tablo142[[#This Row],[Ödünç İşçilik]]+Tablo142[[#This Row],[Üretilen Değer (Sap Verisi)]]</f>
        <v>3773.0333333333333</v>
      </c>
      <c r="O20" s="223">
        <f>SUMIFS(Tablo2[Şubat],Tablo2[BÖLÜM],Tablo142[[#This Row],[Bölüm]])/60</f>
        <v>0</v>
      </c>
      <c r="P20" s="224">
        <f>AC20+O20+Tablo142[[#This Row],[Ödünç İşçilik]]</f>
        <v>3773.0333333333333</v>
      </c>
      <c r="Q20" s="224">
        <f t="shared" ref="Q20:Q29" si="8">K20-P20</f>
        <v>955.9666666666667</v>
      </c>
      <c r="R20" s="207">
        <v>21</v>
      </c>
      <c r="S20" s="207">
        <v>2</v>
      </c>
      <c r="T20" s="207">
        <v>4813.5</v>
      </c>
      <c r="U20" s="207">
        <v>473</v>
      </c>
      <c r="V20" s="158">
        <v>84.5</v>
      </c>
      <c r="W20" s="207">
        <v>37.5</v>
      </c>
      <c r="X20" s="227"/>
      <c r="Y20" s="207">
        <v>3515.5</v>
      </c>
      <c r="Z20" s="207">
        <v>322.5</v>
      </c>
      <c r="AA20" s="207">
        <v>1213.5</v>
      </c>
      <c r="AB20" s="207">
        <v>113</v>
      </c>
      <c r="AC20" s="228">
        <f>Sayfa1!G147</f>
        <v>3773.0333333333333</v>
      </c>
    </row>
    <row r="21" spans="2:29" ht="19.95" customHeight="1" x14ac:dyDescent="0.3">
      <c r="B21" s="229" t="s">
        <v>109</v>
      </c>
      <c r="C21" s="25" t="s">
        <v>4</v>
      </c>
      <c r="D21" s="26" t="s">
        <v>108</v>
      </c>
      <c r="E21" s="27" t="s">
        <v>46</v>
      </c>
      <c r="F21" s="46">
        <f>Tablo142[[#This Row],[Verimlilik
%]]+Tablo142[[#This Row],[Net İşçilik Kapasite Kaybı %]]</f>
        <v>92.115065243179131</v>
      </c>
      <c r="G21" s="43">
        <f t="shared" si="1"/>
        <v>90.728647686832744</v>
      </c>
      <c r="H21" s="43">
        <f>Tablo142[[#This Row],[Duruş]]/Tablo142[[#This Row],[Net Kapasite Direkt]]*100</f>
        <v>1.3864175563463821</v>
      </c>
      <c r="I21" s="43">
        <f>(Tablo142[[#This Row],[Net Kapasite Direkt]]-Tablo142[[#This Row],[Toplam Girilen İşçilik]])/Tablo142[[#This Row],[Net Kapasite Direkt]]*100</f>
        <v>7.8849347568208676</v>
      </c>
      <c r="J21" s="28">
        <f>(V21+W21)/(T21+U21)*100</f>
        <v>1.4009471191791634</v>
      </c>
      <c r="K21" s="29">
        <f>T21-V21</f>
        <v>4496</v>
      </c>
      <c r="L21" s="29">
        <f>U21-W21</f>
        <v>501</v>
      </c>
      <c r="M21" s="30">
        <f>(AA21+AB21)/(Y21+Z21)*100</f>
        <v>36.381004366812228</v>
      </c>
      <c r="N21" s="30">
        <f>Tablo142[[#This Row],[Ödünç İşçilik]]+Tablo142[[#This Row],[Üretilen Değer (Sap Verisi)]]</f>
        <v>4079.1600000000003</v>
      </c>
      <c r="O21" s="61">
        <f>SUMIFS(Tablo2[Şubat],Tablo2[BÖLÜM],Tablo142[[#This Row],[Bölüm]])/60</f>
        <v>62.333333333333336</v>
      </c>
      <c r="P21" s="31">
        <f>AC21+O21+Tablo142[[#This Row],[Ödünç İşçilik]]</f>
        <v>4141.4933333333338</v>
      </c>
      <c r="Q21" s="31">
        <f>K21-P21</f>
        <v>354.50666666666621</v>
      </c>
      <c r="R21" s="207">
        <v>19</v>
      </c>
      <c r="S21" s="207">
        <v>2</v>
      </c>
      <c r="T21" s="207">
        <v>4550.5</v>
      </c>
      <c r="U21" s="207">
        <v>517.5</v>
      </c>
      <c r="V21" s="158">
        <v>54.5</v>
      </c>
      <c r="W21" s="207">
        <v>16.5</v>
      </c>
      <c r="X21" s="211"/>
      <c r="Y21" s="207">
        <v>3320.5</v>
      </c>
      <c r="Z21" s="207">
        <v>343.5</v>
      </c>
      <c r="AA21" s="207">
        <v>1175.5</v>
      </c>
      <c r="AB21" s="207">
        <v>157.5</v>
      </c>
      <c r="AC21" s="230">
        <f>Sayfa1!G148</f>
        <v>4079.1600000000003</v>
      </c>
    </row>
    <row r="22" spans="2:29" ht="19.95" customHeight="1" x14ac:dyDescent="0.3">
      <c r="B22" s="229" t="s">
        <v>109</v>
      </c>
      <c r="C22" s="25" t="s">
        <v>4</v>
      </c>
      <c r="D22" s="26" t="s">
        <v>108</v>
      </c>
      <c r="E22" s="27" t="s">
        <v>13</v>
      </c>
      <c r="F22" s="46">
        <f>Tablo142[[#This Row],[Verimlilik
%]]+Tablo142[[#This Row],[Net İşçilik Kapasite Kaybı %]]</f>
        <v>86.94297933000712</v>
      </c>
      <c r="G22" s="43">
        <f t="shared" si="1"/>
        <v>85.762968242654622</v>
      </c>
      <c r="H22" s="43">
        <f>Tablo142[[#This Row],[Duruş]]/Tablo142[[#This Row],[Net Kapasite Direkt]]*100</f>
        <v>1.1800110873524985</v>
      </c>
      <c r="I22" s="43">
        <f>(Tablo142[[#This Row],[Net Kapasite Direkt]]-Tablo142[[#This Row],[Toplam Girilen İşçilik]])/Tablo142[[#This Row],[Net Kapasite Direkt]]*100</f>
        <v>13.057020669992877</v>
      </c>
      <c r="J22" s="28">
        <f>(V22+W22)/(T22+U22)*100</f>
        <v>4.0465063262282008</v>
      </c>
      <c r="K22" s="29">
        <f>T22-V22</f>
        <v>4209</v>
      </c>
      <c r="L22" s="29">
        <f>U22-W22</f>
        <v>0</v>
      </c>
      <c r="M22" s="30">
        <f>(AA22+AB22)/(Y22+Z22)*100</f>
        <v>29.807247494217425</v>
      </c>
      <c r="N22" s="30">
        <f>Tablo142[[#This Row],[Ödünç İşçilik]]+Tablo142[[#This Row],[Üretilen Değer (Sap Verisi)]]</f>
        <v>3609.7633333333333</v>
      </c>
      <c r="O22" s="61">
        <f>SUMIFS(Tablo2[Şubat],Tablo2[BÖLÜM],Tablo142[[#This Row],[Bölüm]])/60</f>
        <v>49.666666666666664</v>
      </c>
      <c r="P22" s="31">
        <f>AC22+O22+Tablo142[[#This Row],[Ödünç İşçilik]]</f>
        <v>3659.43</v>
      </c>
      <c r="Q22" s="31">
        <f>K22-P22</f>
        <v>549.57000000000016</v>
      </c>
      <c r="R22" s="207">
        <v>19</v>
      </c>
      <c r="S22" s="207"/>
      <c r="T22" s="207">
        <v>4386.5</v>
      </c>
      <c r="U22" s="207"/>
      <c r="V22" s="158">
        <v>177.5</v>
      </c>
      <c r="W22" s="207"/>
      <c r="X22" s="211"/>
      <c r="Y22" s="207">
        <v>3242.5</v>
      </c>
      <c r="Z22" s="207"/>
      <c r="AA22" s="207">
        <v>966.5</v>
      </c>
      <c r="AB22" s="207"/>
      <c r="AC22" s="230">
        <f>Sayfa1!G149</f>
        <v>3609.7633333333333</v>
      </c>
    </row>
    <row r="23" spans="2:29" ht="19.95" customHeight="1" x14ac:dyDescent="0.3">
      <c r="B23" s="229" t="s">
        <v>109</v>
      </c>
      <c r="C23" s="25" t="s">
        <v>4</v>
      </c>
      <c r="D23" s="26" t="s">
        <v>108</v>
      </c>
      <c r="E23" s="27" t="s">
        <v>9</v>
      </c>
      <c r="F23" s="46">
        <f>Tablo142[[#This Row],[Verimlilik
%]]+Tablo142[[#This Row],[Net İşçilik Kapasite Kaybı %]]</f>
        <v>86.550760378134001</v>
      </c>
      <c r="G23" s="43">
        <f t="shared" si="1"/>
        <v>84.646389916426912</v>
      </c>
      <c r="H23" s="43">
        <f>Tablo142[[#This Row],[Duruş]]/Tablo142[[#This Row],[Net Kapasite Direkt]]*100</f>
        <v>1.9043704617070834</v>
      </c>
      <c r="I23" s="43">
        <f>(Tablo142[[#This Row],[Net Kapasite Direkt]]-Tablo142[[#This Row],[Toplam Girilen İşçilik]])/Tablo142[[#This Row],[Net Kapasite Direkt]]*100</f>
        <v>13.449239621866003</v>
      </c>
      <c r="J23" s="28">
        <f t="shared" si="2"/>
        <v>1.1979695431472082</v>
      </c>
      <c r="K23" s="29">
        <f t="shared" si="4"/>
        <v>2433</v>
      </c>
      <c r="L23" s="29">
        <f t="shared" si="5"/>
        <v>0</v>
      </c>
      <c r="M23" s="30">
        <f t="shared" si="7"/>
        <v>30.771298038161781</v>
      </c>
      <c r="N23" s="30">
        <f>Tablo142[[#This Row],[Ödünç İşçilik]]+Tablo142[[#This Row],[Üretilen Değer (Sap Verisi)]]</f>
        <v>2059.4466666666667</v>
      </c>
      <c r="O23" s="61">
        <f>SUMIFS(Tablo2[Şubat],Tablo2[BÖLÜM],Tablo142[[#This Row],[Bölüm]])/60</f>
        <v>46.333333333333336</v>
      </c>
      <c r="P23" s="31">
        <f>AC23+O23+Tablo142[[#This Row],[Ödünç İşçilik]]</f>
        <v>2105.7800000000002</v>
      </c>
      <c r="Q23" s="31">
        <f t="shared" si="8"/>
        <v>327.2199999999998</v>
      </c>
      <c r="R23" s="207">
        <v>11</v>
      </c>
      <c r="S23" s="207"/>
      <c r="T23" s="207">
        <v>2462.5</v>
      </c>
      <c r="U23" s="207"/>
      <c r="V23" s="158">
        <v>29.5</v>
      </c>
      <c r="W23" s="207"/>
      <c r="X23" s="211"/>
      <c r="Y23" s="207">
        <v>1860.5</v>
      </c>
      <c r="Z23" s="207"/>
      <c r="AA23" s="207">
        <v>572.5</v>
      </c>
      <c r="AB23" s="207"/>
      <c r="AC23" s="230">
        <f>Sayfa1!G150</f>
        <v>2059.4466666666667</v>
      </c>
    </row>
    <row r="24" spans="2:29" ht="19.95" customHeight="1" x14ac:dyDescent="0.3">
      <c r="B24" s="229" t="s">
        <v>109</v>
      </c>
      <c r="C24" s="25" t="s">
        <v>4</v>
      </c>
      <c r="D24" s="26" t="s">
        <v>108</v>
      </c>
      <c r="E24" s="27" t="s">
        <v>32</v>
      </c>
      <c r="F24" s="46">
        <f>Tablo142[[#This Row],[Verimlilik
%]]+Tablo142[[#This Row],[Net İşçilik Kapasite Kaybı %]]</f>
        <v>89.542971147943533</v>
      </c>
      <c r="G24" s="43">
        <f t="shared" si="1"/>
        <v>89.542971147943533</v>
      </c>
      <c r="H24" s="43">
        <f>Tablo142[[#This Row],[Duruş]]/Tablo142[[#This Row],[Net Kapasite Direkt]]*100</f>
        <v>0</v>
      </c>
      <c r="I24" s="43">
        <f>(Tablo142[[#This Row],[Net Kapasite Direkt]]-Tablo142[[#This Row],[Toplam Girilen İşçilik]])/Tablo142[[#This Row],[Net Kapasite Direkt]]*100</f>
        <v>10.457028852056476</v>
      </c>
      <c r="J24" s="28">
        <f>(V24+W24)/(T24+U24)*100</f>
        <v>3.3635878270154831</v>
      </c>
      <c r="K24" s="29">
        <f>T24-V24</f>
        <v>2715</v>
      </c>
      <c r="L24" s="29">
        <f>U24-W24</f>
        <v>0</v>
      </c>
      <c r="M24" s="30">
        <f>(AA24+AB24)/(Y24+Z24)*100</f>
        <v>31.445170660856935</v>
      </c>
      <c r="N24" s="30">
        <f>Tablo142[[#This Row],[Ödünç İşçilik]]+Tablo142[[#This Row],[Üretilen Değer (Sap Verisi)]]</f>
        <v>2431.0916666666667</v>
      </c>
      <c r="O24" s="61">
        <f>SUMIFS(Tablo2[Şubat],Tablo2[BÖLÜM],Tablo142[[#This Row],[Bölüm]])/60</f>
        <v>0</v>
      </c>
      <c r="P24" s="31">
        <f>AC24+O24+Tablo142[[#This Row],[Ödünç İşçilik]]</f>
        <v>2431.0916666666667</v>
      </c>
      <c r="Q24" s="31">
        <f>K24-P24</f>
        <v>283.9083333333333</v>
      </c>
      <c r="R24" s="207">
        <v>12</v>
      </c>
      <c r="S24" s="207"/>
      <c r="T24" s="207">
        <v>2809.5</v>
      </c>
      <c r="U24" s="207"/>
      <c r="V24" s="158">
        <v>94.5</v>
      </c>
      <c r="W24" s="207"/>
      <c r="X24" s="211">
        <v>1660</v>
      </c>
      <c r="Y24" s="207">
        <v>2065.5</v>
      </c>
      <c r="Z24" s="207"/>
      <c r="AA24" s="207">
        <v>649.5</v>
      </c>
      <c r="AB24" s="207"/>
      <c r="AC24" s="230">
        <f>Sayfa1!G151</f>
        <v>771.0916666666667</v>
      </c>
    </row>
    <row r="25" spans="2:29" ht="19.95" customHeight="1" x14ac:dyDescent="0.3">
      <c r="B25" s="229" t="s">
        <v>109</v>
      </c>
      <c r="C25" s="25" t="s">
        <v>4</v>
      </c>
      <c r="D25" s="26" t="s">
        <v>108</v>
      </c>
      <c r="E25" s="27" t="s">
        <v>26</v>
      </c>
      <c r="F25" s="46">
        <f>Tablo142[[#This Row],[Verimlilik
%]]+Tablo142[[#This Row],[Net İşçilik Kapasite Kaybı %]]</f>
        <v>90.207218271924148</v>
      </c>
      <c r="G25" s="43">
        <f t="shared" si="1"/>
        <v>77.88767507002801</v>
      </c>
      <c r="H25" s="43">
        <f>Tablo142[[#This Row],[Duruş]]/Tablo142[[#This Row],[Net Kapasite Direkt]]*100</f>
        <v>12.319543201896144</v>
      </c>
      <c r="I25" s="43">
        <f>(Tablo142[[#This Row],[Net Kapasite Direkt]]-Tablo142[[#This Row],[Toplam Girilen İşçilik]])/Tablo142[[#This Row],[Net Kapasite Direkt]]*100</f>
        <v>9.7927817280758589</v>
      </c>
      <c r="J25" s="28">
        <f>(V25+W25)/(T25+U25)*100</f>
        <v>4.3585780525502322</v>
      </c>
      <c r="K25" s="29">
        <f>T25-V25</f>
        <v>1547</v>
      </c>
      <c r="L25" s="29">
        <f>U25-W25</f>
        <v>0</v>
      </c>
      <c r="M25" s="30">
        <f>(AA25+AB25)/(Y25+Z25)*100</f>
        <v>30.05464480874317</v>
      </c>
      <c r="N25" s="30">
        <f>Tablo142[[#This Row],[Ödünç İşçilik]]+Tablo142[[#This Row],[Üretilen Değer (Sap Verisi)]]</f>
        <v>1204.9223333333332</v>
      </c>
      <c r="O25" s="61">
        <f>SUMIFS(Tablo2[Şubat],Tablo2[BÖLÜM],Tablo142[[#This Row],[Bölüm]])/60</f>
        <v>190.58333333333334</v>
      </c>
      <c r="P25" s="31">
        <f>AC25+O25+Tablo142[[#This Row],[Ödünç İşçilik]]</f>
        <v>1395.5056666666665</v>
      </c>
      <c r="Q25" s="31">
        <f>K25-P25</f>
        <v>151.49433333333354</v>
      </c>
      <c r="R25" s="207">
        <v>7</v>
      </c>
      <c r="S25" s="207"/>
      <c r="T25" s="207">
        <v>1617.5</v>
      </c>
      <c r="U25" s="207"/>
      <c r="V25" s="158">
        <v>70.5</v>
      </c>
      <c r="W25" s="207"/>
      <c r="X25" s="211"/>
      <c r="Y25" s="207">
        <v>1189.5</v>
      </c>
      <c r="Z25" s="207"/>
      <c r="AA25" s="207">
        <v>357.5</v>
      </c>
      <c r="AB25" s="207"/>
      <c r="AC25" s="230">
        <f>Sayfa1!G152</f>
        <v>1204.9223333333332</v>
      </c>
    </row>
    <row r="26" spans="2:29" ht="19.95" customHeight="1" x14ac:dyDescent="0.3">
      <c r="B26" s="229" t="s">
        <v>109</v>
      </c>
      <c r="C26" s="25" t="s">
        <v>4</v>
      </c>
      <c r="D26" s="26" t="s">
        <v>108</v>
      </c>
      <c r="E26" s="27" t="s">
        <v>17</v>
      </c>
      <c r="F26" s="46">
        <f>Tablo142[[#This Row],[Verimlilik
%]]+Tablo142[[#This Row],[Net İşçilik Kapasite Kaybı %]]</f>
        <v>76.456609535066988</v>
      </c>
      <c r="G26" s="43">
        <f t="shared" si="1"/>
        <v>70.098256501182036</v>
      </c>
      <c r="H26" s="43">
        <f>Tablo142[[#This Row],[Duruş]]/Tablo142[[#This Row],[Net Kapasite Direkt]]*100</f>
        <v>6.3583530338849492</v>
      </c>
      <c r="I26" s="43">
        <f>(Tablo142[[#This Row],[Net Kapasite Direkt]]-Tablo142[[#This Row],[Toplam Girilen İşçilik]])/Tablo142[[#This Row],[Net Kapasite Direkt]]*100</f>
        <v>23.543390464933022</v>
      </c>
      <c r="J26" s="28">
        <f t="shared" si="2"/>
        <v>4.1505083324599097</v>
      </c>
      <c r="K26" s="29">
        <f t="shared" si="4"/>
        <v>3384</v>
      </c>
      <c r="L26" s="29">
        <f t="shared" si="5"/>
        <v>1188.5</v>
      </c>
      <c r="M26" s="30">
        <f t="shared" si="7"/>
        <v>34.406231628453845</v>
      </c>
      <c r="N26" s="30">
        <f>Tablo142[[#This Row],[Ödünç İşçilik]]+Tablo142[[#This Row],[Üretilen Değer (Sap Verisi)]]</f>
        <v>2372.125</v>
      </c>
      <c r="O26" s="61">
        <f>SUMIFS(Tablo2[Şubat],Tablo2[BÖLÜM],Tablo142[[#This Row],[Bölüm]])/60</f>
        <v>215.16666666666666</v>
      </c>
      <c r="P26" s="31">
        <f>AC26+O26+Tablo142[[#This Row],[Ödünç İşçilik]]</f>
        <v>2587.2916666666665</v>
      </c>
      <c r="Q26" s="31">
        <f t="shared" si="8"/>
        <v>796.70833333333348</v>
      </c>
      <c r="R26" s="207">
        <v>14</v>
      </c>
      <c r="S26" s="207">
        <v>6</v>
      </c>
      <c r="T26" s="207">
        <v>3503</v>
      </c>
      <c r="U26" s="207">
        <v>1267.5</v>
      </c>
      <c r="V26" s="158">
        <v>119</v>
      </c>
      <c r="W26" s="207">
        <v>79</v>
      </c>
      <c r="X26" s="211"/>
      <c r="Y26" s="207">
        <v>2401</v>
      </c>
      <c r="Z26" s="207">
        <v>1001</v>
      </c>
      <c r="AA26" s="207">
        <v>983</v>
      </c>
      <c r="AB26" s="207">
        <v>187.5</v>
      </c>
      <c r="AC26" s="230">
        <f>Sayfa1!G162</f>
        <v>2372.125</v>
      </c>
    </row>
    <row r="27" spans="2:29" ht="19.95" customHeight="1" x14ac:dyDescent="0.3">
      <c r="B27" s="229" t="s">
        <v>109</v>
      </c>
      <c r="C27" s="25" t="s">
        <v>4</v>
      </c>
      <c r="D27" s="26" t="s">
        <v>108</v>
      </c>
      <c r="E27" s="27" t="s">
        <v>29</v>
      </c>
      <c r="F27" s="46">
        <f>Tablo142[[#This Row],[Verimlilik
%]]+Tablo142[[#This Row],[Net İşçilik Kapasite Kaybı %]]</f>
        <v>109.64919478451279</v>
      </c>
      <c r="G27" s="43">
        <f t="shared" si="1"/>
        <v>109.64919478451279</v>
      </c>
      <c r="H27" s="43">
        <f>Tablo142[[#This Row],[Duruş]]/Tablo142[[#This Row],[Net Kapasite Direkt]]*100</f>
        <v>0</v>
      </c>
      <c r="I27" s="43">
        <f>(Tablo142[[#This Row],[Net Kapasite Direkt]]-Tablo142[[#This Row],[Toplam Girilen İşçilik]])/Tablo142[[#This Row],[Net Kapasite Direkt]]*100</f>
        <v>-9.649194784512785</v>
      </c>
      <c r="J27" s="28">
        <f t="shared" si="2"/>
        <v>3.902652926989695</v>
      </c>
      <c r="K27" s="29">
        <f t="shared" si="4"/>
        <v>1674.5</v>
      </c>
      <c r="L27" s="29">
        <f t="shared" si="5"/>
        <v>517</v>
      </c>
      <c r="M27" s="30">
        <f t="shared" si="7"/>
        <v>43.141737426518617</v>
      </c>
      <c r="N27" s="30">
        <f>Tablo142[[#This Row],[Ödünç İşçilik]]+Tablo142[[#This Row],[Üretilen Değer (Sap Verisi)]]</f>
        <v>1836.0757666666666</v>
      </c>
      <c r="O27" s="61">
        <f>SUMIFS(Tablo2[Şubat],Tablo2[BÖLÜM],Tablo142[[#This Row],[Bölüm]])/60</f>
        <v>0</v>
      </c>
      <c r="P27" s="31">
        <f>AC27+O27+Tablo142[[#This Row],[Ödünç İşçilik]]</f>
        <v>1836.0757666666666</v>
      </c>
      <c r="Q27" s="31">
        <f t="shared" si="8"/>
        <v>-161.5757666666666</v>
      </c>
      <c r="R27" s="207">
        <v>7</v>
      </c>
      <c r="S27" s="207">
        <v>2</v>
      </c>
      <c r="T27" s="207">
        <v>1763.5</v>
      </c>
      <c r="U27" s="207">
        <v>517</v>
      </c>
      <c r="V27" s="158">
        <v>89</v>
      </c>
      <c r="W27" s="207">
        <v>0</v>
      </c>
      <c r="X27" s="211"/>
      <c r="Y27" s="207">
        <v>1171</v>
      </c>
      <c r="Z27" s="207">
        <v>360</v>
      </c>
      <c r="AA27" s="207">
        <v>503.5</v>
      </c>
      <c r="AB27" s="207">
        <v>157</v>
      </c>
      <c r="AC27" s="230">
        <f>Sayfa1!G163</f>
        <v>1836.0757666666666</v>
      </c>
    </row>
    <row r="28" spans="2:29" ht="19.95" customHeight="1" x14ac:dyDescent="0.3">
      <c r="B28" s="229" t="s">
        <v>109</v>
      </c>
      <c r="C28" s="25" t="s">
        <v>4</v>
      </c>
      <c r="D28" s="26" t="s">
        <v>108</v>
      </c>
      <c r="E28" s="27" t="s">
        <v>43</v>
      </c>
      <c r="F28" s="46">
        <f>Tablo142[[#This Row],[Verimlilik
%]]+Tablo142[[#This Row],[Net İşçilik Kapasite Kaybı %]]</f>
        <v>120.71455035365442</v>
      </c>
      <c r="G28" s="43">
        <f t="shared" si="1"/>
        <v>98.642023127876939</v>
      </c>
      <c r="H28" s="43">
        <f>Tablo142[[#This Row],[Duruş]]/Tablo142[[#This Row],[Net Kapasite Direkt]]*100</f>
        <v>22.072527225777481</v>
      </c>
      <c r="I28" s="43">
        <f>(Tablo142[[#This Row],[Net Kapasite Direkt]]-Tablo142[[#This Row],[Toplam Girilen İşçilik]])/Tablo142[[#This Row],[Net Kapasite Direkt]]*100</f>
        <v>-20.714550353654424</v>
      </c>
      <c r="J28" s="28">
        <f t="shared" si="2"/>
        <v>5.1521298174442194</v>
      </c>
      <c r="K28" s="29">
        <f t="shared" si="4"/>
        <v>2969</v>
      </c>
      <c r="L28" s="29">
        <f t="shared" si="5"/>
        <v>538</v>
      </c>
      <c r="M28" s="30">
        <f t="shared" si="7"/>
        <v>30.395984383714449</v>
      </c>
      <c r="N28" s="30">
        <f>Tablo142[[#This Row],[Ödünç İşçilik]]+Tablo142[[#This Row],[Üretilen Değer (Sap Verisi)]]</f>
        <v>2928.6816666666664</v>
      </c>
      <c r="O28" s="61">
        <f>SUMIFS(Tablo2[Şubat],Tablo2[BÖLÜM],Tablo142[[#This Row],[Bölüm]])/60</f>
        <v>655.33333333333337</v>
      </c>
      <c r="P28" s="31">
        <f>AC28+O28+Tablo142[[#This Row],[Ödünç İşçilik]]</f>
        <v>3584.0149999999999</v>
      </c>
      <c r="Q28" s="31">
        <f t="shared" si="8"/>
        <v>-615.01499999999987</v>
      </c>
      <c r="R28" s="207">
        <v>14</v>
      </c>
      <c r="S28" s="207">
        <v>2</v>
      </c>
      <c r="T28" s="207">
        <v>3159.5</v>
      </c>
      <c r="U28" s="207">
        <v>538</v>
      </c>
      <c r="V28" s="158">
        <v>190.5</v>
      </c>
      <c r="W28" s="207">
        <v>0</v>
      </c>
      <c r="X28" s="211"/>
      <c r="Y28" s="207">
        <v>2329.5</v>
      </c>
      <c r="Z28" s="207">
        <v>360</v>
      </c>
      <c r="AA28" s="207">
        <v>639.5</v>
      </c>
      <c r="AB28" s="207">
        <v>178</v>
      </c>
      <c r="AC28" s="230">
        <f>Sayfa1!G166</f>
        <v>2928.6816666666664</v>
      </c>
    </row>
    <row r="29" spans="2:29" ht="19.95" customHeight="1" x14ac:dyDescent="0.3">
      <c r="B29" s="229" t="s">
        <v>109</v>
      </c>
      <c r="C29" s="25" t="s">
        <v>4</v>
      </c>
      <c r="D29" s="26" t="s">
        <v>108</v>
      </c>
      <c r="E29" s="27" t="s">
        <v>19</v>
      </c>
      <c r="F29" s="46">
        <f>Tablo142[[#This Row],[Verimlilik
%]]+Tablo142[[#This Row],[Net İşçilik Kapasite Kaybı %]]</f>
        <v>69.663385826771659</v>
      </c>
      <c r="G29" s="43">
        <f>(AC29+X29)/K29*100</f>
        <v>59.212598425196852</v>
      </c>
      <c r="H29" s="43">
        <f>Tablo142[[#This Row],[Duruş]]/Tablo142[[#This Row],[Net Kapasite Direkt]]*100</f>
        <v>10.450787401574804</v>
      </c>
      <c r="I29" s="43">
        <f>(Tablo142[[#This Row],[Net Kapasite Direkt]]-Tablo142[[#This Row],[Toplam Girilen İşçilik]])/Tablo142[[#This Row],[Net Kapasite Direkt]]*100</f>
        <v>30.336614173228345</v>
      </c>
      <c r="J29" s="28">
        <f t="shared" si="2"/>
        <v>4.203013481363997</v>
      </c>
      <c r="K29" s="29">
        <f t="shared" si="4"/>
        <v>2540</v>
      </c>
      <c r="L29" s="29">
        <f t="shared" si="5"/>
        <v>480</v>
      </c>
      <c r="M29" s="30">
        <f t="shared" si="7"/>
        <v>26.492146596858639</v>
      </c>
      <c r="N29" s="30">
        <f>Tablo142[[#This Row],[Ödünç İşçilik]]+Tablo142[[#This Row],[Üretilen Değer (Sap Verisi)]]</f>
        <v>1504</v>
      </c>
      <c r="O29" s="61">
        <f>SUMIFS(Tablo2[Şubat],Tablo2[BÖLÜM],Tablo142[[#This Row],[Bölüm]])/60</f>
        <v>265.45</v>
      </c>
      <c r="P29" s="31">
        <f>AC29+O29+Tablo142[[#This Row],[Ödünç İşçilik]]</f>
        <v>1769.45</v>
      </c>
      <c r="Q29" s="31">
        <f t="shared" si="8"/>
        <v>770.55</v>
      </c>
      <c r="R29" s="364">
        <v>12</v>
      </c>
      <c r="S29" s="364">
        <v>2</v>
      </c>
      <c r="T29" s="364">
        <v>2659.5</v>
      </c>
      <c r="U29" s="364">
        <v>493</v>
      </c>
      <c r="V29" s="158">
        <v>119.5</v>
      </c>
      <c r="W29" s="364">
        <v>13</v>
      </c>
      <c r="X29" s="402"/>
      <c r="Y29" s="364">
        <v>2040.5</v>
      </c>
      <c r="Z29" s="364">
        <v>347</v>
      </c>
      <c r="AA29" s="364">
        <v>499.5</v>
      </c>
      <c r="AB29" s="364">
        <v>133</v>
      </c>
      <c r="AC29" s="230">
        <v>1504</v>
      </c>
    </row>
    <row r="30" spans="2:29" ht="19.95" customHeight="1" x14ac:dyDescent="0.3">
      <c r="B30" s="229" t="s">
        <v>109</v>
      </c>
      <c r="C30" s="25" t="s">
        <v>4</v>
      </c>
      <c r="D30" s="26" t="s">
        <v>25</v>
      </c>
      <c r="E30" s="27" t="s">
        <v>40</v>
      </c>
      <c r="F30" s="46">
        <f>Tablo142[[#This Row],[Verimlilik
%]]+Tablo142[[#This Row],[Net İşçilik Kapasite Kaybı %]]</f>
        <v>73.727102803738319</v>
      </c>
      <c r="G30" s="43">
        <f t="shared" si="1"/>
        <v>62.379750778816202</v>
      </c>
      <c r="H30" s="43">
        <f>Tablo142[[#This Row],[Duruş]]/Tablo142[[#This Row],[Net Kapasite Direkt]]*100</f>
        <v>11.34735202492212</v>
      </c>
      <c r="I30" s="43">
        <f>(Tablo142[[#This Row],[Net Kapasite Direkt]]-Tablo142[[#This Row],[Toplam Girilen İşçilik]])/Tablo142[[#This Row],[Net Kapasite Direkt]]*100</f>
        <v>26.272897196261685</v>
      </c>
      <c r="J30" s="28">
        <f>(V30+W30)/(T30+U30)*100</f>
        <v>3.9317507418397621</v>
      </c>
      <c r="K30" s="29">
        <f t="shared" ref="K30:L32" si="9">T30-V30</f>
        <v>2140</v>
      </c>
      <c r="L30" s="29">
        <f t="shared" si="9"/>
        <v>450</v>
      </c>
      <c r="M30" s="30">
        <f>(AA30+AB30)/(Y30+Z30)*100</f>
        <v>26.095423563777992</v>
      </c>
      <c r="N30" s="30">
        <f>Tablo142[[#This Row],[Ödünç İşçilik]]+Tablo142[[#This Row],[Üretilen Değer (Sap Verisi)]]</f>
        <v>1334.9266666666667</v>
      </c>
      <c r="O30" s="61">
        <f>SUMIFS(Tablo2[Şubat],Tablo2[BÖLÜM],Tablo142[[#This Row],[Bölüm]])/60</f>
        <v>242.83333333333334</v>
      </c>
      <c r="P30" s="31">
        <f>AC30+O30+Tablo142[[#This Row],[Ödünç İşçilik]]</f>
        <v>1577.76</v>
      </c>
      <c r="Q30" s="31">
        <f>K30-P30</f>
        <v>562.24</v>
      </c>
      <c r="R30" s="207">
        <v>10</v>
      </c>
      <c r="S30" s="207">
        <v>2</v>
      </c>
      <c r="T30" s="207">
        <v>2238</v>
      </c>
      <c r="U30" s="207">
        <v>458</v>
      </c>
      <c r="V30" s="158">
        <v>98</v>
      </c>
      <c r="W30" s="207">
        <v>8</v>
      </c>
      <c r="X30" s="211">
        <v>315</v>
      </c>
      <c r="Y30" s="207">
        <v>1702</v>
      </c>
      <c r="Z30" s="207">
        <v>352</v>
      </c>
      <c r="AA30" s="207">
        <v>438</v>
      </c>
      <c r="AB30" s="207">
        <v>98</v>
      </c>
      <c r="AC30" s="230">
        <f>Sayfa1!G167</f>
        <v>1019.9266666666666</v>
      </c>
    </row>
    <row r="31" spans="2:29" ht="19.95" customHeight="1" x14ac:dyDescent="0.3">
      <c r="B31" s="229" t="s">
        <v>109</v>
      </c>
      <c r="C31" s="25" t="s">
        <v>4</v>
      </c>
      <c r="D31" s="26" t="s">
        <v>25</v>
      </c>
      <c r="E31" s="27" t="s">
        <v>35</v>
      </c>
      <c r="F31" s="46">
        <f>Tablo142[[#This Row],[Verimlilik
%]]+Tablo142[[#This Row],[Net İşçilik Kapasite Kaybı %]]</f>
        <v>87.630757220921154</v>
      </c>
      <c r="G31" s="43">
        <f t="shared" si="1"/>
        <v>81.073380171740823</v>
      </c>
      <c r="H31" s="43">
        <f>Tablo142[[#This Row],[Duruş]]/Tablo142[[#This Row],[Net Kapasite Direkt]]*100</f>
        <v>6.557377049180328</v>
      </c>
      <c r="I31" s="43">
        <f>(Tablo142[[#This Row],[Net Kapasite Direkt]]-Tablo142[[#This Row],[Toplam Girilen İşçilik]])/Tablo142[[#This Row],[Net Kapasite Direkt]]*100</f>
        <v>12.369242779078842</v>
      </c>
      <c r="J31" s="28">
        <f>(V31+W31)/(T31+U31)*100</f>
        <v>2.6583268178264268</v>
      </c>
      <c r="K31" s="29">
        <f t="shared" si="9"/>
        <v>3843</v>
      </c>
      <c r="L31" s="29">
        <f t="shared" si="9"/>
        <v>1137</v>
      </c>
      <c r="M31" s="30">
        <f>(AA31+AB31)/(Y31+Z31)*100</f>
        <v>30.230125523012553</v>
      </c>
      <c r="N31" s="30">
        <f>Tablo142[[#This Row],[Ödünç İşçilik]]+Tablo142[[#This Row],[Üretilen Değer (Sap Verisi)]]</f>
        <v>3115.65</v>
      </c>
      <c r="O31" s="61">
        <f>SUMIFS(Tablo2[Şubat],Tablo2[BÖLÜM],Tablo142[[#This Row],[Bölüm]])/60</f>
        <v>252</v>
      </c>
      <c r="P31" s="31">
        <f>AC31+O31+Tablo142[[#This Row],[Ödünç İşçilik]]</f>
        <v>3367.65</v>
      </c>
      <c r="Q31" s="31">
        <f>K31-P31</f>
        <v>475.34999999999991</v>
      </c>
      <c r="R31" s="207">
        <v>17</v>
      </c>
      <c r="S31" s="207">
        <v>5</v>
      </c>
      <c r="T31" s="207">
        <v>3927</v>
      </c>
      <c r="U31" s="207">
        <v>1189</v>
      </c>
      <c r="V31" s="158">
        <v>84</v>
      </c>
      <c r="W31" s="207">
        <v>52</v>
      </c>
      <c r="X31" s="211"/>
      <c r="Y31" s="207">
        <v>2976</v>
      </c>
      <c r="Z31" s="207">
        <v>848</v>
      </c>
      <c r="AA31" s="207">
        <v>867</v>
      </c>
      <c r="AB31" s="207">
        <v>289</v>
      </c>
      <c r="AC31" s="230">
        <f>Sayfa1!G168</f>
        <v>3115.65</v>
      </c>
    </row>
    <row r="32" spans="2:29" ht="19.95" customHeight="1" x14ac:dyDescent="0.3">
      <c r="B32" s="229" t="s">
        <v>109</v>
      </c>
      <c r="C32" s="25" t="s">
        <v>4</v>
      </c>
      <c r="D32" s="26" t="s">
        <v>25</v>
      </c>
      <c r="E32" s="27" t="s">
        <v>25</v>
      </c>
      <c r="F32" s="46">
        <f>Tablo142[[#This Row],[Verimlilik
%]]+Tablo142[[#This Row],[Net İşçilik Kapasite Kaybı %]]</f>
        <v>60.930123678358243</v>
      </c>
      <c r="G32" s="43">
        <f t="shared" si="1"/>
        <v>60.930123678358243</v>
      </c>
      <c r="H32" s="43">
        <f>Tablo142[[#This Row],[Duruş]]/Tablo142[[#This Row],[Net Kapasite Direkt]]*100</f>
        <v>0</v>
      </c>
      <c r="I32" s="43">
        <f>(Tablo142[[#This Row],[Net Kapasite Direkt]]-Tablo142[[#This Row],[Toplam Girilen İşçilik]])/Tablo142[[#This Row],[Net Kapasite Direkt]]*100</f>
        <v>39.069876321641757</v>
      </c>
      <c r="J32" s="28">
        <f>(V32+W32)/(T32+U32)*100</f>
        <v>1.8715837542378746</v>
      </c>
      <c r="K32" s="29">
        <f>T32-V32</f>
        <v>12815.5</v>
      </c>
      <c r="L32" s="29">
        <f t="shared" si="9"/>
        <v>1367</v>
      </c>
      <c r="M32" s="30">
        <f>(AA32+AB32)/(Y32+Z32)*100</f>
        <v>25.071652189249967</v>
      </c>
      <c r="N32" s="30">
        <f>Tablo142[[#This Row],[Ödünç İşçilik]]+Tablo142[[#This Row],[Üretilen Değer (Sap Verisi)]]</f>
        <v>7808.5</v>
      </c>
      <c r="O32" s="61">
        <f>SUMIFS(Tablo2[Şubat],Tablo2[BÖLÜM],Tablo142[[#This Row],[Bölüm]])/60</f>
        <v>0</v>
      </c>
      <c r="P32" s="31">
        <f>AC32+O32+Tablo142[[#This Row],[Ödünç İşçilik]]</f>
        <v>7808.5</v>
      </c>
      <c r="Q32" s="31">
        <f>K32-P32</f>
        <v>5007</v>
      </c>
      <c r="R32" s="207">
        <v>59</v>
      </c>
      <c r="S32" s="207">
        <v>6</v>
      </c>
      <c r="T32" s="207">
        <v>13052.5</v>
      </c>
      <c r="U32" s="207">
        <v>1400.5</v>
      </c>
      <c r="V32" s="158">
        <v>237</v>
      </c>
      <c r="W32" s="207">
        <v>33.5</v>
      </c>
      <c r="X32" s="211"/>
      <c r="Y32" s="207">
        <v>10293</v>
      </c>
      <c r="Z32" s="207">
        <v>1046.5</v>
      </c>
      <c r="AA32" s="207">
        <v>2522.5</v>
      </c>
      <c r="AB32" s="207">
        <v>320.5</v>
      </c>
      <c r="AC32" s="230">
        <f>Sayfa1!G169</f>
        <v>7808.5</v>
      </c>
    </row>
    <row r="33" spans="2:29" ht="19.95" customHeight="1" x14ac:dyDescent="0.3">
      <c r="B33" s="229" t="s">
        <v>109</v>
      </c>
      <c r="C33" s="25" t="s">
        <v>4</v>
      </c>
      <c r="D33" s="26" t="s">
        <v>25</v>
      </c>
      <c r="E33" s="27" t="s">
        <v>23</v>
      </c>
      <c r="F33" s="46">
        <f>Tablo142[[#This Row],[Verimlilik
%]]+Tablo142[[#This Row],[Net İşçilik Kapasite Kaybı %]]</f>
        <v>75.417691857059168</v>
      </c>
      <c r="G33" s="43">
        <f t="shared" si="1"/>
        <v>75.417691857059168</v>
      </c>
      <c r="H33" s="43">
        <f>Tablo142[[#This Row],[Duruş]]/Tablo142[[#This Row],[Net Kapasite Direkt]]*100</f>
        <v>0</v>
      </c>
      <c r="I33" s="43">
        <f>(Tablo142[[#This Row],[Net Kapasite Direkt]]-Tablo142[[#This Row],[Toplam Girilen İşçilik]])/Tablo142[[#This Row],[Net Kapasite Direkt]]*100</f>
        <v>24.582308142940832</v>
      </c>
      <c r="J33" s="28">
        <f t="shared" si="2"/>
        <v>5.1583066524368553</v>
      </c>
      <c r="K33" s="29">
        <f t="shared" si="4"/>
        <v>1138</v>
      </c>
      <c r="L33" s="29">
        <f t="shared" si="5"/>
        <v>195</v>
      </c>
      <c r="M33" s="30">
        <f t="shared" si="7"/>
        <v>32.307692307692307</v>
      </c>
      <c r="N33" s="30">
        <f>Tablo142[[#This Row],[Ödünç İşçilik]]+Tablo142[[#This Row],[Üretilen Değer (Sap Verisi)]]</f>
        <v>858.25333333333333</v>
      </c>
      <c r="O33" s="61">
        <f>SUMIFS(Tablo2[Şubat],Tablo2[BÖLÜM],Tablo142[[#This Row],[Bölüm]])/60</f>
        <v>0</v>
      </c>
      <c r="P33" s="31">
        <f>AC33+O33+Tablo142[[#This Row],[Ödünç İşçilik]]</f>
        <v>858.25333333333333</v>
      </c>
      <c r="Q33" s="31">
        <f>K33-P33</f>
        <v>279.74666666666667</v>
      </c>
      <c r="R33" s="207">
        <v>5</v>
      </c>
      <c r="S33" s="207">
        <v>1</v>
      </c>
      <c r="T33" s="207">
        <v>1179</v>
      </c>
      <c r="U33" s="207">
        <v>226.5</v>
      </c>
      <c r="V33" s="158">
        <v>41</v>
      </c>
      <c r="W33" s="207">
        <v>31.5</v>
      </c>
      <c r="X33" s="211"/>
      <c r="Y33" s="207">
        <v>859</v>
      </c>
      <c r="Z33" s="207">
        <v>148.5</v>
      </c>
      <c r="AA33" s="207">
        <v>279</v>
      </c>
      <c r="AB33" s="207">
        <v>46.5</v>
      </c>
      <c r="AC33" s="230">
        <f>Sayfa1!G170</f>
        <v>858.25333333333333</v>
      </c>
    </row>
    <row r="34" spans="2:29" ht="19.95" customHeight="1" thickBot="1" x14ac:dyDescent="0.35">
      <c r="B34" s="231" t="s">
        <v>109</v>
      </c>
      <c r="C34" s="232" t="s">
        <v>4</v>
      </c>
      <c r="D34" s="233" t="s">
        <v>25</v>
      </c>
      <c r="E34" s="234" t="s">
        <v>20</v>
      </c>
      <c r="F34" s="235">
        <f>Tablo142[[#This Row],[Verimlilik
%]]+Tablo142[[#This Row],[Net İşçilik Kapasite Kaybı %]]</f>
        <v>47.179778113968737</v>
      </c>
      <c r="G34" s="236">
        <f t="shared" si="1"/>
        <v>47.179778113968737</v>
      </c>
      <c r="H34" s="236">
        <f>Tablo142[[#This Row],[Duruş]]/Tablo142[[#This Row],[Net Kapasite Direkt]]*100</f>
        <v>0</v>
      </c>
      <c r="I34" s="236">
        <f>(Tablo142[[#This Row],[Net Kapasite Direkt]]-Tablo142[[#This Row],[Toplam Girilen İşçilik]])/Tablo142[[#This Row],[Net Kapasite Direkt]]*100</f>
        <v>52.820221886031263</v>
      </c>
      <c r="J34" s="237">
        <f>(V34+W34)/(T34+U34)*100</f>
        <v>2.2386128364389233</v>
      </c>
      <c r="K34" s="238">
        <f>T34-V34</f>
        <v>2644</v>
      </c>
      <c r="L34" s="238">
        <f>U34-W34</f>
        <v>1133.5</v>
      </c>
      <c r="M34" s="239">
        <f>(AA34+AB34)/(Y34+Z34)*100</f>
        <v>27.038843114175215</v>
      </c>
      <c r="N34" s="239">
        <f>Tablo142[[#This Row],[Ödünç İşçilik]]+Tablo142[[#This Row],[Üretilen Değer (Sap Verisi)]]</f>
        <v>1247.4333333333334</v>
      </c>
      <c r="O34" s="240">
        <f>SUMIFS(Tablo2[Şubat],Tablo2[BÖLÜM],Tablo142[[#This Row],[Bölüm]])/60</f>
        <v>0</v>
      </c>
      <c r="P34" s="241">
        <f>AC34+O34+Tablo142[[#This Row],[Ödünç İşçilik]]</f>
        <v>1247.4333333333334</v>
      </c>
      <c r="Q34" s="241">
        <f>K34-P34</f>
        <v>1396.5666666666666</v>
      </c>
      <c r="R34" s="207">
        <v>12</v>
      </c>
      <c r="S34" s="207">
        <v>5</v>
      </c>
      <c r="T34" s="207">
        <v>2722.5</v>
      </c>
      <c r="U34" s="207">
        <v>1141.5</v>
      </c>
      <c r="V34" s="158">
        <v>78.5</v>
      </c>
      <c r="W34" s="207">
        <v>8</v>
      </c>
      <c r="X34" s="244"/>
      <c r="Y34" s="207">
        <v>2081.5</v>
      </c>
      <c r="Z34" s="207">
        <v>892</v>
      </c>
      <c r="AA34" s="207">
        <v>562.5</v>
      </c>
      <c r="AB34" s="207">
        <v>241.5</v>
      </c>
      <c r="AC34" s="245">
        <f>Sayfa1!G171</f>
        <v>1247.4333333333334</v>
      </c>
    </row>
    <row r="35" spans="2:29" s="45" customFormat="1" ht="19.95" customHeight="1" x14ac:dyDescent="0.3">
      <c r="B35" s="312" t="s">
        <v>110</v>
      </c>
      <c r="C35" s="215" t="s">
        <v>4</v>
      </c>
      <c r="D35" s="216" t="s">
        <v>108</v>
      </c>
      <c r="E35" s="217" t="s">
        <v>5</v>
      </c>
      <c r="F35" s="487">
        <f>Tablo142[[#This Row],[Verimlilik
%]]+Tablo142[[#This Row],[Net İşçilik Kapasite Kaybı %]]</f>
        <v>77.429161138139463</v>
      </c>
      <c r="G35" s="219">
        <f t="shared" si="1"/>
        <v>77.429161138139463</v>
      </c>
      <c r="H35" s="219">
        <f>Tablo142[[#This Row],[Duruş]]/Tablo142[[#This Row],[Net Kapasite Direkt]]*100</f>
        <v>0</v>
      </c>
      <c r="I35" s="219">
        <f>(Tablo142[[#This Row],[Net Kapasite Direkt]]-Tablo142[[#This Row],[Toplam Girilen İşçilik]])/Tablo142[[#This Row],[Net Kapasite Direkt]]*100</f>
        <v>22.57083886186053</v>
      </c>
      <c r="J35" s="220">
        <f t="shared" ref="J35:J100" si="10">(V35+W35)/(T35+U35)*100</f>
        <v>3.055100927441353</v>
      </c>
      <c r="K35" s="221">
        <f t="shared" ref="K35:K100" si="11">T35-V35</f>
        <v>5652.5</v>
      </c>
      <c r="L35" s="221">
        <f t="shared" ref="L35:L100" si="12">U35-W35</f>
        <v>567</v>
      </c>
      <c r="M35" s="222">
        <f t="shared" ref="M35:M100" si="13">(AA35+AB35)/(Y35+Z35)*100</f>
        <v>39.403787963689339</v>
      </c>
      <c r="N35" s="222">
        <f>Tablo142[[#This Row],[Ödünç İşçilik]]+Tablo142[[#This Row],[Üretilen Değer (Sap Verisi)]]</f>
        <v>4376.6833333333334</v>
      </c>
      <c r="O35" s="223">
        <f>SUMIFS(Tablo2[Mart],Tablo2[BÖLÜM],Tablo142[[#This Row],[Bölüm]])/60</f>
        <v>0</v>
      </c>
      <c r="P35" s="224">
        <f>AC35+O35+Tablo142[[#This Row],[Ödünç İşçilik]]</f>
        <v>4376.6833333333334</v>
      </c>
      <c r="Q35" s="224">
        <f t="shared" ref="Q35:Q100" si="14">K35-P35</f>
        <v>1275.8166666666666</v>
      </c>
      <c r="R35" s="225">
        <v>21</v>
      </c>
      <c r="S35" s="225">
        <v>2</v>
      </c>
      <c r="T35" s="322">
        <v>5834</v>
      </c>
      <c r="U35" s="225">
        <v>581.5</v>
      </c>
      <c r="V35" s="226">
        <v>181.5</v>
      </c>
      <c r="W35" s="225">
        <v>14.5</v>
      </c>
      <c r="X35" s="314"/>
      <c r="Y35" s="225">
        <v>4071</v>
      </c>
      <c r="Z35" s="225">
        <v>390.5</v>
      </c>
      <c r="AA35" s="225">
        <v>1581.5</v>
      </c>
      <c r="AB35" s="225">
        <v>176.5</v>
      </c>
      <c r="AC35" s="154">
        <f>Sayfa1!I244</f>
        <v>4376.6833333333334</v>
      </c>
    </row>
    <row r="36" spans="2:29" ht="19.95" customHeight="1" x14ac:dyDescent="0.3">
      <c r="B36" s="315" t="s">
        <v>110</v>
      </c>
      <c r="C36" s="25" t="s">
        <v>4</v>
      </c>
      <c r="D36" s="26" t="s">
        <v>108</v>
      </c>
      <c r="E36" s="27" t="s">
        <v>46</v>
      </c>
      <c r="F36" s="488">
        <f>Tablo142[[#This Row],[Verimlilik
%]]+Tablo142[[#This Row],[Net İşçilik Kapasite Kaybı %]]</f>
        <v>83.026750218987942</v>
      </c>
      <c r="G36" s="43">
        <f t="shared" si="1"/>
        <v>77.439188733912815</v>
      </c>
      <c r="H36" s="43">
        <f>Tablo142[[#This Row],[Duruş]]/Tablo142[[#This Row],[Net Kapasite Direkt]]*100</f>
        <v>5.5875614850751303</v>
      </c>
      <c r="I36" s="43">
        <f>(Tablo142[[#This Row],[Net Kapasite Direkt]]-Tablo142[[#This Row],[Toplam Girilen İşçilik]])/Tablo142[[#This Row],[Net Kapasite Direkt]]*100</f>
        <v>16.973249781012068</v>
      </c>
      <c r="J36" s="28">
        <f t="shared" si="10"/>
        <v>3.5854488353834078</v>
      </c>
      <c r="K36" s="29">
        <f t="shared" si="11"/>
        <v>4947</v>
      </c>
      <c r="L36" s="29">
        <f t="shared" si="12"/>
        <v>579</v>
      </c>
      <c r="M36" s="30">
        <f t="shared" si="13"/>
        <v>36.545589325426242</v>
      </c>
      <c r="N36" s="30">
        <f>Tablo142[[#This Row],[Ödünç İşçilik]]+Tablo142[[#This Row],[Üretilen Değer (Sap Verisi)]]</f>
        <v>3830.9166666666665</v>
      </c>
      <c r="O36" s="61">
        <f>SUMIFS(Tablo2[Mart],Tablo2[BÖLÜM],Tablo142[[#This Row],[Bölüm]])/60</f>
        <v>276.41666666666669</v>
      </c>
      <c r="P36" s="31">
        <f>AC36+O36+Tablo142[[#This Row],[Ödünç İşçilik]]</f>
        <v>4107.333333333333</v>
      </c>
      <c r="Q36" s="31">
        <f>K36-P36</f>
        <v>839.66666666666697</v>
      </c>
      <c r="R36" s="207">
        <v>19</v>
      </c>
      <c r="S36" s="207">
        <v>2</v>
      </c>
      <c r="T36" s="323">
        <v>5135.5</v>
      </c>
      <c r="U36" s="207">
        <v>596</v>
      </c>
      <c r="V36" s="158">
        <v>188.5</v>
      </c>
      <c r="W36" s="207">
        <v>17</v>
      </c>
      <c r="X36" s="305"/>
      <c r="Y36" s="207">
        <v>3659</v>
      </c>
      <c r="Z36" s="207">
        <v>388</v>
      </c>
      <c r="AA36" s="207">
        <v>1288</v>
      </c>
      <c r="AB36" s="207">
        <v>191</v>
      </c>
      <c r="AC36" s="153">
        <f>Sayfa1!I245</f>
        <v>3830.9166666666665</v>
      </c>
    </row>
    <row r="37" spans="2:29" ht="19.95" customHeight="1" x14ac:dyDescent="0.3">
      <c r="B37" s="315" t="s">
        <v>110</v>
      </c>
      <c r="C37" s="25" t="s">
        <v>4</v>
      </c>
      <c r="D37" s="26" t="s">
        <v>108</v>
      </c>
      <c r="E37" s="27" t="s">
        <v>13</v>
      </c>
      <c r="F37" s="488">
        <f>Tablo142[[#This Row],[Verimlilik
%]]+Tablo142[[#This Row],[Net İşçilik Kapasite Kaybı %]]</f>
        <v>85.124387957078866</v>
      </c>
      <c r="G37" s="43">
        <f t="shared" si="1"/>
        <v>80.408618953363202</v>
      </c>
      <c r="H37" s="43">
        <f>Tablo142[[#This Row],[Duruş]]/Tablo142[[#This Row],[Net Kapasite Direkt]]*100</f>
        <v>4.715769003715665</v>
      </c>
      <c r="I37" s="43">
        <f>(Tablo142[[#This Row],[Net Kapasite Direkt]]-Tablo142[[#This Row],[Toplam Girilen İşçilik]])/Tablo142[[#This Row],[Net Kapasite Direkt]]*100</f>
        <v>14.875612042921126</v>
      </c>
      <c r="J37" s="28">
        <f t="shared" si="10"/>
        <v>3.7501253384137172</v>
      </c>
      <c r="K37" s="29">
        <f t="shared" si="11"/>
        <v>4799.5</v>
      </c>
      <c r="L37" s="29">
        <f t="shared" si="12"/>
        <v>0</v>
      </c>
      <c r="M37" s="30">
        <f t="shared" si="13"/>
        <v>31.115967763966673</v>
      </c>
      <c r="N37" s="30">
        <f>Tablo142[[#This Row],[Ödünç İşçilik]]+Tablo142[[#This Row],[Üretilen Değer (Sap Verisi)]]</f>
        <v>3859.211666666667</v>
      </c>
      <c r="O37" s="61">
        <f>SUMIFS(Tablo2[Mart],Tablo2[BÖLÜM],Tablo142[[#This Row],[Bölüm]])/60</f>
        <v>226.33333333333334</v>
      </c>
      <c r="P37" s="31">
        <f>AC37+O37+Tablo142[[#This Row],[Ödünç İşçilik]]</f>
        <v>4085.5450000000005</v>
      </c>
      <c r="Q37" s="31">
        <f t="shared" si="14"/>
        <v>713.95499999999947</v>
      </c>
      <c r="R37" s="207">
        <v>19</v>
      </c>
      <c r="S37" s="207"/>
      <c r="T37" s="323">
        <v>4986.5</v>
      </c>
      <c r="U37" s="207"/>
      <c r="V37" s="158">
        <v>187</v>
      </c>
      <c r="W37" s="207"/>
      <c r="X37" s="305"/>
      <c r="Y37" s="207">
        <v>3660.5</v>
      </c>
      <c r="Z37" s="207"/>
      <c r="AA37" s="207">
        <v>1139</v>
      </c>
      <c r="AB37" s="207"/>
      <c r="AC37" s="153">
        <f>Sayfa1!I246</f>
        <v>3859.211666666667</v>
      </c>
    </row>
    <row r="38" spans="2:29" ht="19.95" customHeight="1" x14ac:dyDescent="0.3">
      <c r="B38" s="315" t="s">
        <v>110</v>
      </c>
      <c r="C38" s="25" t="s">
        <v>4</v>
      </c>
      <c r="D38" s="26" t="s">
        <v>108</v>
      </c>
      <c r="E38" s="27" t="s">
        <v>9</v>
      </c>
      <c r="F38" s="488">
        <f>Tablo142[[#This Row],[Verimlilik
%]]+Tablo142[[#This Row],[Net İşçilik Kapasite Kaybı %]]</f>
        <v>92.690730999455837</v>
      </c>
      <c r="G38" s="43">
        <f t="shared" si="1"/>
        <v>83.987060886389756</v>
      </c>
      <c r="H38" s="43">
        <f>Tablo142[[#This Row],[Duruş]]/Tablo142[[#This Row],[Net Kapasite Direkt]]*100</f>
        <v>8.703670113066087</v>
      </c>
      <c r="I38" s="43">
        <f>(Tablo142[[#This Row],[Net Kapasite Direkt]]-Tablo142[[#This Row],[Toplam Girilen İşçilik]])/Tablo142[[#This Row],[Net Kapasite Direkt]]*100</f>
        <v>7.3092690005441687</v>
      </c>
      <c r="J38" s="28">
        <f t="shared" si="10"/>
        <v>4.5037242335007797</v>
      </c>
      <c r="K38" s="29">
        <f t="shared" si="11"/>
        <v>2756.5</v>
      </c>
      <c r="L38" s="29">
        <f t="shared" si="12"/>
        <v>0</v>
      </c>
      <c r="M38" s="30">
        <f t="shared" si="13"/>
        <v>31.418355184743739</v>
      </c>
      <c r="N38" s="30">
        <f>Tablo142[[#This Row],[Ödünç İşçilik]]+Tablo142[[#This Row],[Üretilen Değer (Sap Verisi)]]</f>
        <v>2315.1033333333335</v>
      </c>
      <c r="O38" s="61">
        <f>SUMIFS(Tablo2[Mart],Tablo2[BÖLÜM],Tablo142[[#This Row],[Bölüm]])/60</f>
        <v>239.91666666666666</v>
      </c>
      <c r="P38" s="31">
        <f>AC38+O38+Tablo142[[#This Row],[Ödünç İşçilik]]</f>
        <v>2555.02</v>
      </c>
      <c r="Q38" s="31">
        <f t="shared" si="14"/>
        <v>201.48000000000002</v>
      </c>
      <c r="R38" s="207">
        <v>11</v>
      </c>
      <c r="S38" s="207"/>
      <c r="T38" s="323">
        <v>2886.5</v>
      </c>
      <c r="U38" s="207"/>
      <c r="V38" s="158">
        <v>130</v>
      </c>
      <c r="W38" s="207"/>
      <c r="X38" s="305"/>
      <c r="Y38" s="207">
        <v>2097.5</v>
      </c>
      <c r="Z38" s="207"/>
      <c r="AA38" s="207">
        <v>659</v>
      </c>
      <c r="AB38" s="207"/>
      <c r="AC38" s="153">
        <f>Sayfa1!I247</f>
        <v>2315.1033333333335</v>
      </c>
    </row>
    <row r="39" spans="2:29" ht="19.95" customHeight="1" x14ac:dyDescent="0.3">
      <c r="B39" s="315" t="s">
        <v>110</v>
      </c>
      <c r="C39" s="25" t="s">
        <v>4</v>
      </c>
      <c r="D39" s="26" t="s">
        <v>108</v>
      </c>
      <c r="E39" s="27" t="s">
        <v>32</v>
      </c>
      <c r="F39" s="488">
        <f>Tablo142[[#This Row],[Verimlilik
%]]+Tablo142[[#This Row],[Net İşçilik Kapasite Kaybı %]]</f>
        <v>76.464395836811917</v>
      </c>
      <c r="G39" s="43">
        <f>(AC39+X39)/K39*100</f>
        <v>76.197239383313843</v>
      </c>
      <c r="H39" s="43">
        <f>Tablo142[[#This Row],[Duruş]]/Tablo142[[#This Row],[Net Kapasite Direkt]]*100</f>
        <v>0.26715645349807982</v>
      </c>
      <c r="I39" s="43">
        <f>(Tablo142[[#This Row],[Net Kapasite Direkt]]-Tablo142[[#This Row],[Toplam Girilen İşçilik]])/Tablo142[[#This Row],[Net Kapasite Direkt]]*100</f>
        <v>23.535604163188076</v>
      </c>
      <c r="J39" s="28">
        <f t="shared" si="10"/>
        <v>3.0278497409326426</v>
      </c>
      <c r="K39" s="29">
        <f>T39-V39</f>
        <v>2994.5</v>
      </c>
      <c r="L39" s="29">
        <f t="shared" si="12"/>
        <v>0</v>
      </c>
      <c r="M39" s="30">
        <f t="shared" si="13"/>
        <v>28.161780440830302</v>
      </c>
      <c r="N39" s="30">
        <f>Tablo142[[#This Row],[Ödünç İşçilik]]+Tablo142[[#This Row],[Üretilen Değer (Sap Verisi)]]</f>
        <v>2281.7263333333331</v>
      </c>
      <c r="O39" s="61">
        <f>SUMIFS(Tablo2[Mart],Tablo2[BÖLÜM],Tablo142[[#This Row],[Bölüm]])/60</f>
        <v>8</v>
      </c>
      <c r="P39" s="31">
        <f>AC39+O39+Tablo142[[#This Row],[Ödünç İşçilik]]</f>
        <v>2289.7263333333331</v>
      </c>
      <c r="Q39" s="31">
        <f t="shared" si="14"/>
        <v>704.77366666666694</v>
      </c>
      <c r="R39" s="207">
        <v>12</v>
      </c>
      <c r="S39" s="207"/>
      <c r="T39" s="323">
        <v>3088</v>
      </c>
      <c r="U39" s="207"/>
      <c r="V39" s="158">
        <v>93.5</v>
      </c>
      <c r="W39" s="207"/>
      <c r="X39" s="305">
        <v>780</v>
      </c>
      <c r="Y39" s="207">
        <v>2336.5</v>
      </c>
      <c r="Z39" s="207"/>
      <c r="AA39" s="207">
        <v>658</v>
      </c>
      <c r="AB39" s="207"/>
      <c r="AC39" s="153">
        <f>Sayfa1!I248</f>
        <v>1501.7263333333333</v>
      </c>
    </row>
    <row r="40" spans="2:29" ht="19.95" customHeight="1" x14ac:dyDescent="0.3">
      <c r="B40" s="315" t="s">
        <v>110</v>
      </c>
      <c r="C40" s="25" t="s">
        <v>4</v>
      </c>
      <c r="D40" s="26" t="s">
        <v>108</v>
      </c>
      <c r="E40" s="27" t="s">
        <v>26</v>
      </c>
      <c r="F40" s="488">
        <f>Tablo142[[#This Row],[Verimlilik
%]]+Tablo142[[#This Row],[Net İşçilik Kapasite Kaybı %]]</f>
        <v>79.871624867877372</v>
      </c>
      <c r="G40" s="43">
        <f t="shared" ref="G40:G72" si="15">(AC40+X40)/K40*100</f>
        <v>66.637263380417011</v>
      </c>
      <c r="H40" s="43">
        <f>Tablo142[[#This Row],[Duruş]]/Tablo142[[#This Row],[Net Kapasite Direkt]]*100</f>
        <v>13.234361487460363</v>
      </c>
      <c r="I40" s="43">
        <f>(Tablo142[[#This Row],[Net Kapasite Direkt]]-Tablo142[[#This Row],[Toplam Girilen İşçilik]])/Tablo142[[#This Row],[Net Kapasite Direkt]]*100</f>
        <v>20.128375132122631</v>
      </c>
      <c r="J40" s="28">
        <f t="shared" si="10"/>
        <v>4.750137287204832</v>
      </c>
      <c r="K40" s="29">
        <f t="shared" si="11"/>
        <v>1734.5</v>
      </c>
      <c r="L40" s="29">
        <f t="shared" si="12"/>
        <v>0</v>
      </c>
      <c r="M40" s="30">
        <f t="shared" si="13"/>
        <v>30.315552216378659</v>
      </c>
      <c r="N40" s="30">
        <f>Tablo142[[#This Row],[Ödünç İşçilik]]+Tablo142[[#This Row],[Üretilen Değer (Sap Verisi)]]</f>
        <v>1155.823333333333</v>
      </c>
      <c r="O40" s="61">
        <f>SUMIFS(Tablo2[Mart],Tablo2[BÖLÜM],Tablo142[[#This Row],[Bölüm]])/60</f>
        <v>229.55</v>
      </c>
      <c r="P40" s="31">
        <f>AC40+O40+Tablo142[[#This Row],[Ödünç İşçilik]]</f>
        <v>1385.373333333333</v>
      </c>
      <c r="Q40" s="31">
        <f t="shared" si="14"/>
        <v>349.12666666666701</v>
      </c>
      <c r="R40" s="207">
        <v>7</v>
      </c>
      <c r="S40" s="207"/>
      <c r="T40" s="323">
        <v>1821</v>
      </c>
      <c r="U40" s="207"/>
      <c r="V40" s="158">
        <v>86.5</v>
      </c>
      <c r="W40" s="207"/>
      <c r="X40" s="305"/>
      <c r="Y40" s="207">
        <v>1331</v>
      </c>
      <c r="Z40" s="207"/>
      <c r="AA40" s="207">
        <v>403.5</v>
      </c>
      <c r="AB40" s="207"/>
      <c r="AC40" s="153">
        <f>Sayfa1!I249</f>
        <v>1155.823333333333</v>
      </c>
    </row>
    <row r="41" spans="2:29" ht="19.95" customHeight="1" x14ac:dyDescent="0.3">
      <c r="B41" s="315" t="s">
        <v>110</v>
      </c>
      <c r="C41" s="25" t="s">
        <v>4</v>
      </c>
      <c r="D41" s="26" t="s">
        <v>108</v>
      </c>
      <c r="E41" s="27" t="s">
        <v>17</v>
      </c>
      <c r="F41" s="488">
        <f>Tablo142[[#This Row],[Verimlilik
%]]+Tablo142[[#This Row],[Net İşçilik Kapasite Kaybı %]]</f>
        <v>71.564771163492694</v>
      </c>
      <c r="G41" s="43">
        <f t="shared" si="15"/>
        <v>66.819354552314991</v>
      </c>
      <c r="H41" s="43">
        <f>Tablo142[[#This Row],[Duruş]]/Tablo142[[#This Row],[Net Kapasite Direkt]]*100</f>
        <v>4.7454166111776974</v>
      </c>
      <c r="I41" s="43">
        <f>(Tablo142[[#This Row],[Net Kapasite Direkt]]-Tablo142[[#This Row],[Toplam Girilen İşçilik]])/Tablo142[[#This Row],[Net Kapasite Direkt]]*100</f>
        <v>28.435228836507314</v>
      </c>
      <c r="J41" s="28">
        <f t="shared" si="10"/>
        <v>3.4148197469799295</v>
      </c>
      <c r="K41" s="29">
        <f t="shared" si="11"/>
        <v>3754.5</v>
      </c>
      <c r="L41" s="29">
        <f t="shared" si="12"/>
        <v>1322.5</v>
      </c>
      <c r="M41" s="30">
        <f t="shared" si="13"/>
        <v>31.17168324505878</v>
      </c>
      <c r="N41" s="30">
        <f>Tablo142[[#This Row],[Ödünç İşçilik]]+Tablo142[[#This Row],[Üretilen Değer (Sap Verisi)]]</f>
        <v>2508.7326666666663</v>
      </c>
      <c r="O41" s="61">
        <f>SUMIFS(Tablo2[Mart],Tablo2[BÖLÜM],Tablo142[[#This Row],[Bölüm]])/60</f>
        <v>178.16666666666666</v>
      </c>
      <c r="P41" s="31">
        <f>AC41+O41+Tablo142[[#This Row],[Ödünç İşçilik]]</f>
        <v>2686.8993333333328</v>
      </c>
      <c r="Q41" s="31">
        <f t="shared" si="14"/>
        <v>1067.6006666666672</v>
      </c>
      <c r="R41" s="207">
        <v>14</v>
      </c>
      <c r="S41" s="207">
        <v>6</v>
      </c>
      <c r="T41" s="323">
        <v>3845.5</v>
      </c>
      <c r="U41" s="207">
        <v>1411</v>
      </c>
      <c r="V41" s="158">
        <v>91</v>
      </c>
      <c r="W41" s="207">
        <v>88.5</v>
      </c>
      <c r="X41" s="305"/>
      <c r="Y41" s="207">
        <v>2744</v>
      </c>
      <c r="Z41" s="207">
        <v>1126.5</v>
      </c>
      <c r="AA41" s="207">
        <v>1010.5</v>
      </c>
      <c r="AB41" s="207">
        <v>196</v>
      </c>
      <c r="AC41" s="153">
        <f>Sayfa1!I259</f>
        <v>2508.7326666666663</v>
      </c>
    </row>
    <row r="42" spans="2:29" ht="19.95" customHeight="1" x14ac:dyDescent="0.3">
      <c r="B42" s="315" t="s">
        <v>110</v>
      </c>
      <c r="C42" s="25" t="s">
        <v>4</v>
      </c>
      <c r="D42" s="26" t="s">
        <v>108</v>
      </c>
      <c r="E42" s="27" t="s">
        <v>29</v>
      </c>
      <c r="F42" s="488">
        <f>Tablo142[[#This Row],[Verimlilik
%]]+Tablo142[[#This Row],[Net İşçilik Kapasite Kaybı %]]</f>
        <v>86.614860360360353</v>
      </c>
      <c r="G42" s="43">
        <f t="shared" si="15"/>
        <v>86.614860360360353</v>
      </c>
      <c r="H42" s="43">
        <f>Tablo142[[#This Row],[Duruş]]/Tablo142[[#This Row],[Net Kapasite Direkt]]*100</f>
        <v>0</v>
      </c>
      <c r="I42" s="43">
        <f>(Tablo142[[#This Row],[Net Kapasite Direkt]]-Tablo142[[#This Row],[Toplam Girilen İşçilik]])/Tablo142[[#This Row],[Net Kapasite Direkt]]*100</f>
        <v>13.38513963963964</v>
      </c>
      <c r="J42" s="28">
        <f t="shared" si="10"/>
        <v>4.0964327714621716</v>
      </c>
      <c r="K42" s="29">
        <f t="shared" si="11"/>
        <v>1850</v>
      </c>
      <c r="L42" s="29">
        <f t="shared" si="12"/>
        <v>596.5</v>
      </c>
      <c r="M42" s="30">
        <f t="shared" si="13"/>
        <v>42.403958090803265</v>
      </c>
      <c r="N42" s="30">
        <f>Tablo142[[#This Row],[Ödünç İşçilik]]+Tablo142[[#This Row],[Üretilen Değer (Sap Verisi)]]</f>
        <v>1602.3749166666666</v>
      </c>
      <c r="O42" s="61">
        <f>SUMIFS(Tablo2[Mart],Tablo2[BÖLÜM],Tablo142[[#This Row],[Bölüm]])/60</f>
        <v>0</v>
      </c>
      <c r="P42" s="31">
        <f>AC42+O42+Tablo142[[#This Row],[Ödünç İşçilik]]</f>
        <v>1602.3749166666666</v>
      </c>
      <c r="Q42" s="31">
        <f t="shared" si="14"/>
        <v>247.62508333333335</v>
      </c>
      <c r="R42" s="207">
        <v>7</v>
      </c>
      <c r="S42" s="207">
        <v>2</v>
      </c>
      <c r="T42" s="323">
        <v>1947</v>
      </c>
      <c r="U42" s="207">
        <v>604</v>
      </c>
      <c r="V42" s="158">
        <v>97</v>
      </c>
      <c r="W42" s="207">
        <v>7.5</v>
      </c>
      <c r="X42" s="305"/>
      <c r="Y42" s="207">
        <v>1320.5</v>
      </c>
      <c r="Z42" s="207">
        <v>397.5</v>
      </c>
      <c r="AA42" s="207">
        <v>529.5</v>
      </c>
      <c r="AB42" s="207">
        <v>199</v>
      </c>
      <c r="AC42" s="153">
        <f>Sayfa1!I260</f>
        <v>1602.3749166666666</v>
      </c>
    </row>
    <row r="43" spans="2:29" ht="19.95" customHeight="1" x14ac:dyDescent="0.3">
      <c r="B43" s="315" t="s">
        <v>110</v>
      </c>
      <c r="C43" s="25" t="s">
        <v>4</v>
      </c>
      <c r="D43" s="26" t="s">
        <v>108</v>
      </c>
      <c r="E43" s="27" t="s">
        <v>43</v>
      </c>
      <c r="F43" s="488">
        <f>Tablo142[[#This Row],[Verimlilik
%]]+Tablo142[[#This Row],[Net İşçilik Kapasite Kaybı %]]</f>
        <v>121.28161087560299</v>
      </c>
      <c r="G43" s="43">
        <f t="shared" si="15"/>
        <v>97.783584271305372</v>
      </c>
      <c r="H43" s="43">
        <f>Tablo142[[#This Row],[Duruş]]/Tablo142[[#This Row],[Net Kapasite Direkt]]*100</f>
        <v>23.498026604297618</v>
      </c>
      <c r="I43" s="43">
        <f>(Tablo142[[#This Row],[Net Kapasite Direkt]]-Tablo142[[#This Row],[Toplam Girilen İşçilik]])/Tablo142[[#This Row],[Net Kapasite Direkt]]*100</f>
        <v>-21.281610875602983</v>
      </c>
      <c r="J43" s="28">
        <f t="shared" si="10"/>
        <v>5.4633227363711292</v>
      </c>
      <c r="K43" s="29">
        <f t="shared" si="11"/>
        <v>3420.5</v>
      </c>
      <c r="L43" s="29">
        <f t="shared" si="12"/>
        <v>594</v>
      </c>
      <c r="M43" s="30">
        <f t="shared" si="13"/>
        <v>33.46077127659575</v>
      </c>
      <c r="N43" s="30">
        <f>Tablo142[[#This Row],[Ödünç İşçilik]]+Tablo142[[#This Row],[Üretilen Değer (Sap Verisi)]]</f>
        <v>3344.6875</v>
      </c>
      <c r="O43" s="61">
        <f>SUMIFS(Tablo2[Mart],Tablo2[BÖLÜM],Tablo142[[#This Row],[Bölüm]])/60</f>
        <v>803.75</v>
      </c>
      <c r="P43" s="31">
        <f>AC43+O43+Tablo142[[#This Row],[Ödünç İşçilik]]</f>
        <v>4148.4375</v>
      </c>
      <c r="Q43" s="31">
        <f t="shared" si="14"/>
        <v>-727.9375</v>
      </c>
      <c r="R43" s="207">
        <v>14</v>
      </c>
      <c r="S43" s="207">
        <v>2</v>
      </c>
      <c r="T43" s="323">
        <v>3645.5</v>
      </c>
      <c r="U43" s="207">
        <v>601</v>
      </c>
      <c r="V43" s="158">
        <v>225</v>
      </c>
      <c r="W43" s="207">
        <v>7</v>
      </c>
      <c r="X43" s="306"/>
      <c r="Y43" s="207">
        <v>2610</v>
      </c>
      <c r="Z43" s="207">
        <v>398</v>
      </c>
      <c r="AA43" s="207">
        <v>810.5</v>
      </c>
      <c r="AB43" s="207">
        <v>196</v>
      </c>
      <c r="AC43" s="153">
        <f>Sayfa1!I263</f>
        <v>3344.6875</v>
      </c>
    </row>
    <row r="44" spans="2:29" ht="19.95" customHeight="1" x14ac:dyDescent="0.3">
      <c r="B44" s="315" t="s">
        <v>110</v>
      </c>
      <c r="C44" s="25" t="s">
        <v>4</v>
      </c>
      <c r="D44" s="26" t="s">
        <v>108</v>
      </c>
      <c r="E44" s="27" t="s">
        <v>19</v>
      </c>
      <c r="F44" s="488">
        <f>Tablo142[[#This Row],[Verimlilik
%]]+Tablo142[[#This Row],[Net İşçilik Kapasite Kaybı %]]</f>
        <v>67.040574220465416</v>
      </c>
      <c r="G44" s="43">
        <f>(AC44+X44)/K44*100</f>
        <v>57.101509661835635</v>
      </c>
      <c r="H44" s="43">
        <f>Tablo142[[#This Row],[Duruş]]/Tablo142[[#This Row],[Net Kapasite Direkt]]*100</f>
        <v>9.9390645586297754</v>
      </c>
      <c r="I44" s="43">
        <f>(Tablo142[[#This Row],[Net Kapasite Direkt]]-Tablo142[[#This Row],[Toplam Girilen İşçilik]])/Tablo142[[#This Row],[Net Kapasite Direkt]]*100</f>
        <v>32.959425779534584</v>
      </c>
      <c r="J44" s="28">
        <f t="shared" si="10"/>
        <v>4.8174786266793319</v>
      </c>
      <c r="K44" s="29">
        <f t="shared" si="11"/>
        <v>3036</v>
      </c>
      <c r="L44" s="29">
        <f t="shared" si="12"/>
        <v>471</v>
      </c>
      <c r="M44" s="30">
        <f t="shared" si="13"/>
        <v>22.622377622377623</v>
      </c>
      <c r="N44" s="30">
        <f>Tablo142[[#This Row],[Ödünç İşçilik]]+Tablo142[[#This Row],[Üretilen Değer (Sap Verisi)]]</f>
        <v>1733.60183333333</v>
      </c>
      <c r="O44" s="61">
        <f>SUMIFS(Tablo2[Mart],Tablo2[BÖLÜM],Tablo142[[#This Row],[Bölüm]])/60</f>
        <v>301.75</v>
      </c>
      <c r="P44" s="31">
        <f>AC44+O44+Tablo142[[#This Row],[Ödünç İşçilik]]</f>
        <v>2035.35183333333</v>
      </c>
      <c r="Q44" s="31">
        <f t="shared" si="14"/>
        <v>1000.64816666667</v>
      </c>
      <c r="R44" s="364">
        <v>13</v>
      </c>
      <c r="S44" s="364">
        <v>2</v>
      </c>
      <c r="T44" s="403">
        <v>3187.5</v>
      </c>
      <c r="U44" s="364">
        <v>497</v>
      </c>
      <c r="V44" s="158">
        <v>151.5</v>
      </c>
      <c r="W44" s="364">
        <v>26</v>
      </c>
      <c r="X44" s="363"/>
      <c r="Y44" s="364">
        <v>2481</v>
      </c>
      <c r="Z44" s="364">
        <v>379</v>
      </c>
      <c r="AA44" s="364">
        <v>555</v>
      </c>
      <c r="AB44" s="364">
        <v>92</v>
      </c>
      <c r="AC44" s="153">
        <f>-1733.60183333333*-1</f>
        <v>1733.60183333333</v>
      </c>
    </row>
    <row r="45" spans="2:29" ht="19.95" customHeight="1" x14ac:dyDescent="0.3">
      <c r="B45" s="315" t="s">
        <v>110</v>
      </c>
      <c r="C45" s="25" t="s">
        <v>4</v>
      </c>
      <c r="D45" s="26" t="s">
        <v>25</v>
      </c>
      <c r="E45" s="27" t="s">
        <v>40</v>
      </c>
      <c r="F45" s="488">
        <f>Tablo142[[#This Row],[Verimlilik
%]]+Tablo142[[#This Row],[Net İşçilik Kapasite Kaybı %]]</f>
        <v>79.784439834024894</v>
      </c>
      <c r="G45" s="43">
        <f t="shared" si="15"/>
        <v>79.149066390041497</v>
      </c>
      <c r="H45" s="43">
        <f>Tablo142[[#This Row],[Duruş]]/Tablo142[[#This Row],[Net Kapasite Direkt]]*100</f>
        <v>0.63537344398340245</v>
      </c>
      <c r="I45" s="43">
        <f>(Tablo142[[#This Row],[Net Kapasite Direkt]]-Tablo142[[#This Row],[Toplam Girilen İşçilik]])/Tablo142[[#This Row],[Net Kapasite Direkt]]*100</f>
        <v>20.215560165975095</v>
      </c>
      <c r="J45" s="28">
        <f t="shared" si="10"/>
        <v>11.017253774263121</v>
      </c>
      <c r="K45" s="29">
        <f t="shared" si="11"/>
        <v>1928</v>
      </c>
      <c r="L45" s="29">
        <f t="shared" si="12"/>
        <v>547.5</v>
      </c>
      <c r="M45" s="30">
        <f t="shared" si="13"/>
        <v>30.909571655208882</v>
      </c>
      <c r="N45" s="30">
        <f>Tablo142[[#This Row],[Ödünç İşçilik]]+Tablo142[[#This Row],[Üretilen Değer (Sap Verisi)]]</f>
        <v>1525.9940000000001</v>
      </c>
      <c r="O45" s="61">
        <f>SUMIFS(Tablo2[Mart],Tablo2[BÖLÜM],Tablo142[[#This Row],[Bölüm]])/60</f>
        <v>12.25</v>
      </c>
      <c r="P45" s="31">
        <f>AC45+O45+Tablo142[[#This Row],[Ödünç İşçilik]]</f>
        <v>1538.2440000000001</v>
      </c>
      <c r="Q45" s="31">
        <f t="shared" si="14"/>
        <v>389.75599999999986</v>
      </c>
      <c r="R45" s="207">
        <v>10</v>
      </c>
      <c r="S45" s="207">
        <v>2</v>
      </c>
      <c r="T45" s="323">
        <v>2234.5</v>
      </c>
      <c r="U45" s="207">
        <v>547.5</v>
      </c>
      <c r="V45" s="158">
        <v>306.5</v>
      </c>
      <c r="W45" s="207">
        <v>0</v>
      </c>
      <c r="X45" s="306">
        <v>515</v>
      </c>
      <c r="Y45" s="207">
        <v>1486</v>
      </c>
      <c r="Z45" s="207">
        <v>405</v>
      </c>
      <c r="AA45" s="207">
        <v>442</v>
      </c>
      <c r="AB45" s="207">
        <v>142.5</v>
      </c>
      <c r="AC45" s="153">
        <f>Sayfa1!I264</f>
        <v>1010.994</v>
      </c>
    </row>
    <row r="46" spans="2:29" ht="19.95" customHeight="1" x14ac:dyDescent="0.3">
      <c r="B46" s="315" t="s">
        <v>110</v>
      </c>
      <c r="C46" s="25" t="s">
        <v>4</v>
      </c>
      <c r="D46" s="26" t="s">
        <v>25</v>
      </c>
      <c r="E46" s="27" t="s">
        <v>35</v>
      </c>
      <c r="F46" s="488">
        <f>Tablo142[[#This Row],[Verimlilik
%]]+Tablo142[[#This Row],[Net İşçilik Kapasite Kaybı %]]</f>
        <v>90.480960420183834</v>
      </c>
      <c r="G46" s="43">
        <f>(AC46+X46)/K46*100</f>
        <v>88.229975614331266</v>
      </c>
      <c r="H46" s="43">
        <f>Tablo142[[#This Row],[Duruş]]/Tablo142[[#This Row],[Net Kapasite Direkt]]*100</f>
        <v>2.2509848058525606</v>
      </c>
      <c r="I46" s="43">
        <f>(Tablo142[[#This Row],[Net Kapasite Direkt]]-Tablo142[[#This Row],[Toplam Girilen İşçilik]])/Tablo142[[#This Row],[Net Kapasite Direkt]]*100</f>
        <v>9.5190395798161678</v>
      </c>
      <c r="J46" s="28">
        <f t="shared" si="10"/>
        <v>2.1271271271271273</v>
      </c>
      <c r="K46" s="29">
        <f t="shared" si="11"/>
        <v>4442.5</v>
      </c>
      <c r="L46" s="29">
        <f t="shared" si="12"/>
        <v>1424</v>
      </c>
      <c r="M46" s="30">
        <f t="shared" si="13"/>
        <v>32.128378378378379</v>
      </c>
      <c r="N46" s="30">
        <f>Tablo142[[#This Row],[Ödünç İşçilik]]+Tablo142[[#This Row],[Üretilen Değer (Sap Verisi)]]</f>
        <v>3919.6166666666668</v>
      </c>
      <c r="O46" s="61">
        <f>SUMIFS(Tablo2[Mart],Tablo2[BÖLÜM],Tablo142[[#This Row],[Bölüm]])/60</f>
        <v>100</v>
      </c>
      <c r="P46" s="31">
        <f>AC46+O46+Tablo142[[#This Row],[Ödünç İşçilik]]</f>
        <v>4019.6166666666668</v>
      </c>
      <c r="Q46" s="31">
        <f t="shared" si="14"/>
        <v>422.88333333333321</v>
      </c>
      <c r="R46" s="207">
        <v>17</v>
      </c>
      <c r="S46" s="207">
        <v>8</v>
      </c>
      <c r="T46" s="323">
        <v>4510.5</v>
      </c>
      <c r="U46" s="207">
        <v>1483.5</v>
      </c>
      <c r="V46" s="158">
        <v>68</v>
      </c>
      <c r="W46" s="207">
        <v>59.5</v>
      </c>
      <c r="X46" s="306">
        <v>405</v>
      </c>
      <c r="Y46" s="207">
        <v>3374.5</v>
      </c>
      <c r="Z46" s="207">
        <v>1065.5</v>
      </c>
      <c r="AA46" s="207">
        <v>1068</v>
      </c>
      <c r="AB46" s="207">
        <v>358.5</v>
      </c>
      <c r="AC46" s="153">
        <f>Sayfa1!I265</f>
        <v>3514.6166666666668</v>
      </c>
    </row>
    <row r="47" spans="2:29" ht="19.95" customHeight="1" x14ac:dyDescent="0.3">
      <c r="B47" s="315" t="s">
        <v>110</v>
      </c>
      <c r="C47" s="25" t="s">
        <v>4</v>
      </c>
      <c r="D47" s="26" t="s">
        <v>25</v>
      </c>
      <c r="E47" s="27" t="s">
        <v>25</v>
      </c>
      <c r="F47" s="488">
        <f>Tablo142[[#This Row],[Verimlilik
%]]+Tablo142[[#This Row],[Net İşçilik Kapasite Kaybı %]]</f>
        <v>65.386416861826703</v>
      </c>
      <c r="G47" s="43">
        <f t="shared" si="15"/>
        <v>65.386416861826703</v>
      </c>
      <c r="H47" s="43">
        <f>Tablo142[[#This Row],[Duruş]]/Tablo142[[#This Row],[Net Kapasite Direkt]]*100</f>
        <v>0</v>
      </c>
      <c r="I47" s="43">
        <f>(Tablo142[[#This Row],[Net Kapasite Direkt]]-Tablo142[[#This Row],[Toplam Girilen İşçilik]])/Tablo142[[#This Row],[Net Kapasite Direkt]]*100</f>
        <v>34.613583138173297</v>
      </c>
      <c r="J47" s="28">
        <f t="shared" si="10"/>
        <v>2.5281662488295527</v>
      </c>
      <c r="K47" s="29">
        <f t="shared" si="11"/>
        <v>14304.5</v>
      </c>
      <c r="L47" s="29">
        <f t="shared" si="12"/>
        <v>1830.5</v>
      </c>
      <c r="M47" s="30">
        <f t="shared" si="13"/>
        <v>23.767882483795496</v>
      </c>
      <c r="N47" s="30">
        <f>Tablo142[[#This Row],[Ödünç İşçilik]]+Tablo142[[#This Row],[Üretilen Değer (Sap Verisi)]]</f>
        <v>9353.2000000000007</v>
      </c>
      <c r="O47" s="61">
        <f>SUMIFS(Tablo2[Mart],Tablo2[BÖLÜM],Tablo142[[#This Row],[Bölüm]])/60</f>
        <v>0</v>
      </c>
      <c r="P47" s="31">
        <f>AC47+O47+Tablo142[[#This Row],[Ödünç İşçilik]]</f>
        <v>9353.2000000000007</v>
      </c>
      <c r="Q47" s="31">
        <f t="shared" si="14"/>
        <v>4951.2999999999993</v>
      </c>
      <c r="R47" s="207">
        <v>59</v>
      </c>
      <c r="S47" s="207">
        <v>11</v>
      </c>
      <c r="T47" s="323">
        <v>14694</v>
      </c>
      <c r="U47" s="207">
        <v>1859.5</v>
      </c>
      <c r="V47" s="158">
        <v>389.5</v>
      </c>
      <c r="W47" s="207">
        <v>29</v>
      </c>
      <c r="X47" s="305"/>
      <c r="Y47" s="207">
        <v>11558</v>
      </c>
      <c r="Z47" s="207">
        <v>1478.5</v>
      </c>
      <c r="AA47" s="207">
        <v>2746.5</v>
      </c>
      <c r="AB47" s="207">
        <v>352</v>
      </c>
      <c r="AC47" s="153">
        <f>Sayfa1!I266</f>
        <v>9353.2000000000007</v>
      </c>
    </row>
    <row r="48" spans="2:29" ht="19.95" customHeight="1" x14ac:dyDescent="0.3">
      <c r="B48" s="315" t="s">
        <v>110</v>
      </c>
      <c r="C48" s="25" t="s">
        <v>4</v>
      </c>
      <c r="D48" s="26" t="s">
        <v>25</v>
      </c>
      <c r="E48" s="27" t="s">
        <v>23</v>
      </c>
      <c r="F48" s="488">
        <f>Tablo142[[#This Row],[Verimlilik
%]]+Tablo142[[#This Row],[Net İşçilik Kapasite Kaybı %]]</f>
        <v>78.858160919540225</v>
      </c>
      <c r="G48" s="43">
        <f t="shared" si="15"/>
        <v>78.858160919540225</v>
      </c>
      <c r="H48" s="43">
        <f>Tablo142[[#This Row],[Duruş]]/Tablo142[[#This Row],[Net Kapasite Direkt]]*100</f>
        <v>0</v>
      </c>
      <c r="I48" s="43">
        <f>(Tablo142[[#This Row],[Net Kapasite Direkt]]-Tablo142[[#This Row],[Toplam Girilen İşçilik]])/Tablo142[[#This Row],[Net Kapasite Direkt]]*100</f>
        <v>21.141839080459775</v>
      </c>
      <c r="J48" s="28">
        <f t="shared" si="10"/>
        <v>1.8221803330191644</v>
      </c>
      <c r="K48" s="29">
        <f t="shared" si="11"/>
        <v>1305</v>
      </c>
      <c r="L48" s="29">
        <f t="shared" si="12"/>
        <v>257.5</v>
      </c>
      <c r="M48" s="30">
        <f t="shared" si="13"/>
        <v>31.745362563237773</v>
      </c>
      <c r="N48" s="30">
        <f>Tablo142[[#This Row],[Ödünç İşçilik]]+Tablo142[[#This Row],[Üretilen Değer (Sap Verisi)]]</f>
        <v>1029.0989999999999</v>
      </c>
      <c r="O48" s="61">
        <f>SUMIFS(Tablo2[Mart],Tablo2[BÖLÜM],Tablo142[[#This Row],[Bölüm]])/60</f>
        <v>0</v>
      </c>
      <c r="P48" s="31">
        <f>AC48+O48+Tablo142[[#This Row],[Ödünç İşçilik]]</f>
        <v>1029.0989999999999</v>
      </c>
      <c r="Q48" s="31">
        <f t="shared" si="14"/>
        <v>275.90100000000007</v>
      </c>
      <c r="R48" s="207">
        <v>5</v>
      </c>
      <c r="S48" s="207">
        <v>1</v>
      </c>
      <c r="T48" s="323">
        <v>1325</v>
      </c>
      <c r="U48" s="207">
        <v>266.5</v>
      </c>
      <c r="V48" s="158">
        <v>20</v>
      </c>
      <c r="W48" s="207">
        <v>9</v>
      </c>
      <c r="X48" s="306"/>
      <c r="Y48" s="207">
        <v>992.5</v>
      </c>
      <c r="Z48" s="207">
        <v>193.5</v>
      </c>
      <c r="AA48" s="207">
        <v>312.5</v>
      </c>
      <c r="AB48" s="207">
        <v>64</v>
      </c>
      <c r="AC48" s="153">
        <f>Sayfa1!I267</f>
        <v>1029.0989999999999</v>
      </c>
    </row>
    <row r="49" spans="2:29" ht="19.95" customHeight="1" thickBot="1" x14ac:dyDescent="0.35">
      <c r="B49" s="317" t="s">
        <v>110</v>
      </c>
      <c r="C49" s="232" t="s">
        <v>4</v>
      </c>
      <c r="D49" s="233" t="s">
        <v>25</v>
      </c>
      <c r="E49" s="234" t="s">
        <v>20</v>
      </c>
      <c r="F49" s="489">
        <f>Tablo142[[#This Row],[Verimlilik
%]]+Tablo142[[#This Row],[Net İşçilik Kapasite Kaybı %]]</f>
        <v>65.387739207832666</v>
      </c>
      <c r="G49" s="236">
        <f t="shared" si="15"/>
        <v>65.387739207832666</v>
      </c>
      <c r="H49" s="236">
        <f>Tablo142[[#This Row],[Duruş]]/Tablo142[[#This Row],[Net Kapasite Direkt]]*100</f>
        <v>0</v>
      </c>
      <c r="I49" s="236">
        <f>(Tablo142[[#This Row],[Net Kapasite Direkt]]-Tablo142[[#This Row],[Toplam Girilen İşçilik]])/Tablo142[[#This Row],[Net Kapasite Direkt]]*100</f>
        <v>34.612260792167334</v>
      </c>
      <c r="J49" s="237">
        <f t="shared" si="10"/>
        <v>3.5573122529644272</v>
      </c>
      <c r="K49" s="238">
        <f t="shared" si="11"/>
        <v>2996</v>
      </c>
      <c r="L49" s="238">
        <f t="shared" si="12"/>
        <v>1274</v>
      </c>
      <c r="M49" s="239">
        <f t="shared" si="13"/>
        <v>29.984779299847791</v>
      </c>
      <c r="N49" s="239">
        <f>Tablo142[[#This Row],[Ödünç İşçilik]]+Tablo142[[#This Row],[Üretilen Değer (Sap Verisi)]]</f>
        <v>1959.0166666666667</v>
      </c>
      <c r="O49" s="240">
        <f>SUMIFS(Tablo2[Mart],Tablo2[BÖLÜM],Tablo142[[#This Row],[Bölüm]])/60</f>
        <v>0</v>
      </c>
      <c r="P49" s="241">
        <f>AC49+O49+Tablo142[[#This Row],[Ödünç İşçilik]]</f>
        <v>1959.0166666666667</v>
      </c>
      <c r="Q49" s="241">
        <f t="shared" si="14"/>
        <v>1036.9833333333333</v>
      </c>
      <c r="R49" s="242">
        <v>12</v>
      </c>
      <c r="S49" s="242">
        <v>5</v>
      </c>
      <c r="T49" s="324">
        <v>3116.5</v>
      </c>
      <c r="U49" s="242">
        <v>1311</v>
      </c>
      <c r="V49" s="243">
        <v>120.5</v>
      </c>
      <c r="W49" s="242">
        <v>37</v>
      </c>
      <c r="X49" s="319"/>
      <c r="Y49" s="242">
        <v>2309.5</v>
      </c>
      <c r="Z49" s="242">
        <v>975.5</v>
      </c>
      <c r="AA49" s="242">
        <v>686.5</v>
      </c>
      <c r="AB49" s="242">
        <v>298.5</v>
      </c>
      <c r="AC49" s="320">
        <f>Sayfa1!I268</f>
        <v>1959.0166666666667</v>
      </c>
    </row>
    <row r="50" spans="2:29" ht="19.95" customHeight="1" x14ac:dyDescent="0.3">
      <c r="B50" s="312" t="s">
        <v>111</v>
      </c>
      <c r="C50" s="215" t="s">
        <v>4</v>
      </c>
      <c r="D50" s="216" t="s">
        <v>108</v>
      </c>
      <c r="E50" s="217" t="s">
        <v>5</v>
      </c>
      <c r="F50" s="487">
        <f>Tablo142[[#This Row],[Verimlilik
%]]+Tablo142[[#This Row],[Net İşçilik Kapasite Kaybı %]]</f>
        <v>75.027550952665464</v>
      </c>
      <c r="G50" s="219">
        <f t="shared" si="15"/>
        <v>73.488348934475198</v>
      </c>
      <c r="H50" s="219">
        <f>Tablo142[[#This Row],[Duruş]]/Tablo142[[#This Row],[Net Kapasite Direkt]]*100</f>
        <v>1.5392020181902675</v>
      </c>
      <c r="I50" s="219">
        <f>(Tablo142[[#This Row],[Net Kapasite Direkt]]-Tablo142[[#This Row],[Toplam Girilen İşçilik]])/Tablo142[[#This Row],[Net Kapasite Direkt]]*100</f>
        <v>24.972449047334528</v>
      </c>
      <c r="J50" s="220">
        <f t="shared" si="10"/>
        <v>4.2103424178895876</v>
      </c>
      <c r="K50" s="221">
        <f t="shared" si="11"/>
        <v>5021</v>
      </c>
      <c r="L50" s="221">
        <f t="shared" si="12"/>
        <v>462</v>
      </c>
      <c r="M50" s="222">
        <f t="shared" si="13"/>
        <v>34.667812845388681</v>
      </c>
      <c r="N50" s="222">
        <f>Tablo142[[#This Row],[Ödünç İşçilik]]+Tablo142[[#This Row],[Üretilen Değer (Sap Verisi)]]</f>
        <v>3689.85</v>
      </c>
      <c r="O50" s="223">
        <f>SUMIFS(Tablo2[Nisan],Tablo2[BÖLÜM],Tablo142[[#This Row],[Bölüm]])/60</f>
        <v>77.283333333333331</v>
      </c>
      <c r="P50" s="224">
        <f>AC50+O50+Tablo142[[#This Row],[Ödünç İşçilik]]</f>
        <v>3767.1333333333332</v>
      </c>
      <c r="Q50" s="224">
        <f t="shared" si="14"/>
        <v>1253.8666666666668</v>
      </c>
      <c r="R50" s="225">
        <v>21</v>
      </c>
      <c r="S50" s="225">
        <v>2</v>
      </c>
      <c r="T50" s="225">
        <v>5231</v>
      </c>
      <c r="U50" s="225">
        <v>493</v>
      </c>
      <c r="V50" s="226">
        <v>210</v>
      </c>
      <c r="W50" s="225">
        <v>31</v>
      </c>
      <c r="X50" s="365">
        <f>75/60</f>
        <v>1.25</v>
      </c>
      <c r="Y50" s="225">
        <v>3727.5</v>
      </c>
      <c r="Z50" s="225">
        <v>344</v>
      </c>
      <c r="AA50" s="225">
        <v>1293.5</v>
      </c>
      <c r="AB50" s="225">
        <v>118</v>
      </c>
      <c r="AC50" s="154">
        <f>Sayfa1!K343</f>
        <v>3688.6</v>
      </c>
    </row>
    <row r="51" spans="2:29" ht="19.95" customHeight="1" x14ac:dyDescent="0.3">
      <c r="B51" s="315" t="s">
        <v>111</v>
      </c>
      <c r="C51" s="25" t="s">
        <v>4</v>
      </c>
      <c r="D51" s="26" t="s">
        <v>108</v>
      </c>
      <c r="E51" s="27" t="s">
        <v>46</v>
      </c>
      <c r="F51" s="488">
        <f>Tablo142[[#This Row],[Verimlilik
%]]+Tablo142[[#This Row],[Net İşçilik Kapasite Kaybı %]]</f>
        <v>105.05879469131912</v>
      </c>
      <c r="G51" s="43">
        <f t="shared" si="15"/>
        <v>100.38393388661275</v>
      </c>
      <c r="H51" s="43">
        <f>Tablo142[[#This Row],[Duruş]]/Tablo142[[#This Row],[Net Kapasite Direkt]]*100</f>
        <v>4.6748608047063769</v>
      </c>
      <c r="I51" s="43">
        <f>(Tablo142[[#This Row],[Net Kapasite Direkt]]-Tablo142[[#This Row],[Toplam Girilen İşçilik]])/Tablo142[[#This Row],[Net Kapasite Direkt]]*100</f>
        <v>-5.0587946913191209</v>
      </c>
      <c r="J51" s="28">
        <f t="shared" si="10"/>
        <v>3.5763411279229711</v>
      </c>
      <c r="K51" s="29">
        <f t="shared" si="11"/>
        <v>4759.5</v>
      </c>
      <c r="L51" s="29">
        <f t="shared" si="12"/>
        <v>498</v>
      </c>
      <c r="M51" s="30">
        <f t="shared" si="13"/>
        <v>31.453931741467684</v>
      </c>
      <c r="N51" s="30">
        <f>Tablo142[[#This Row],[Ödünç İşçilik]]+Tablo142[[#This Row],[Üretilen Değer (Sap Verisi)]]</f>
        <v>4777.7733333333335</v>
      </c>
      <c r="O51" s="61">
        <f>SUMIFS(Tablo2[Nisan],Tablo2[BÖLÜM],Tablo142[[#This Row],[Bölüm]])/60</f>
        <v>222.5</v>
      </c>
      <c r="P51" s="31">
        <f>AC51+O51+Tablo142[[#This Row],[Ödünç İşçilik]]</f>
        <v>5000.2733333333335</v>
      </c>
      <c r="Q51" s="31">
        <f t="shared" si="14"/>
        <v>-240.77333333333354</v>
      </c>
      <c r="R51" s="364">
        <v>19</v>
      </c>
      <c r="S51" s="364">
        <v>2</v>
      </c>
      <c r="T51" s="364">
        <f>4667.5+257</f>
        <v>4924.5</v>
      </c>
      <c r="U51" s="364">
        <v>528</v>
      </c>
      <c r="V51" s="158">
        <v>165</v>
      </c>
      <c r="W51" s="364">
        <v>30</v>
      </c>
      <c r="X51" s="363"/>
      <c r="Y51" s="364">
        <f>3397.5+257</f>
        <v>3654.5</v>
      </c>
      <c r="Z51" s="364">
        <v>345</v>
      </c>
      <c r="AA51" s="364">
        <v>1105</v>
      </c>
      <c r="AB51" s="364">
        <v>153</v>
      </c>
      <c r="AC51" s="153">
        <f>Sayfa1!K344</f>
        <v>4777.7733333333335</v>
      </c>
    </row>
    <row r="52" spans="2:29" ht="19.95" customHeight="1" x14ac:dyDescent="0.3">
      <c r="B52" s="315" t="s">
        <v>111</v>
      </c>
      <c r="C52" s="25" t="s">
        <v>4</v>
      </c>
      <c r="D52" s="26" t="s">
        <v>108</v>
      </c>
      <c r="E52" s="27" t="s">
        <v>13</v>
      </c>
      <c r="F52" s="488">
        <f>Tablo142[[#This Row],[Verimlilik
%]]+Tablo142[[#This Row],[Net İşçilik Kapasite Kaybı %]]</f>
        <v>99.984799391975685</v>
      </c>
      <c r="G52" s="43">
        <f t="shared" si="15"/>
        <v>99.984799391975685</v>
      </c>
      <c r="H52" s="43">
        <f>Tablo142[[#This Row],[Duruş]]/Tablo142[[#This Row],[Net Kapasite Direkt]]*100</f>
        <v>0</v>
      </c>
      <c r="I52" s="43">
        <f>(Tablo142[[#This Row],[Net Kapasite Direkt]]-Tablo142[[#This Row],[Toplam Girilen İşçilik]])/Tablo142[[#This Row],[Net Kapasite Direkt]]*100</f>
        <v>1.5200608024318061E-2</v>
      </c>
      <c r="J52" s="28">
        <f t="shared" si="10"/>
        <v>7.3081201334816468</v>
      </c>
      <c r="K52" s="29">
        <f t="shared" si="11"/>
        <v>4166.5</v>
      </c>
      <c r="L52" s="29">
        <f t="shared" si="12"/>
        <v>0</v>
      </c>
      <c r="M52" s="30">
        <f t="shared" si="13"/>
        <v>32.606619987269255</v>
      </c>
      <c r="N52" s="30">
        <f>Tablo142[[#This Row],[Ödünç İşçilik]]+Tablo142[[#This Row],[Üretilen Değer (Sap Verisi)]]</f>
        <v>4165.8666666666668</v>
      </c>
      <c r="O52" s="61">
        <f>SUMIFS(Tablo2[Nisan],Tablo2[BÖLÜM],Tablo142[[#This Row],[Bölüm]])/60</f>
        <v>0</v>
      </c>
      <c r="P52" s="31">
        <f>AC52+O52+Tablo142[[#This Row],[Ödünç İşçilik]]</f>
        <v>4165.8666666666668</v>
      </c>
      <c r="Q52" s="31">
        <f t="shared" si="14"/>
        <v>0.63333333333321207</v>
      </c>
      <c r="R52" s="364">
        <v>20</v>
      </c>
      <c r="S52" s="364"/>
      <c r="T52" s="364">
        <f>4752-257</f>
        <v>4495</v>
      </c>
      <c r="U52" s="364"/>
      <c r="V52" s="158">
        <v>328.5</v>
      </c>
      <c r="W52" s="364"/>
      <c r="X52" s="363"/>
      <c r="Y52" s="364">
        <f>3399-257</f>
        <v>3142</v>
      </c>
      <c r="Z52" s="364"/>
      <c r="AA52" s="364">
        <v>1024.5</v>
      </c>
      <c r="AB52" s="364"/>
      <c r="AC52" s="153">
        <f>Sayfa1!K345</f>
        <v>4165.8666666666668</v>
      </c>
    </row>
    <row r="53" spans="2:29" ht="19.95" customHeight="1" x14ac:dyDescent="0.3">
      <c r="B53" s="315" t="s">
        <v>111</v>
      </c>
      <c r="C53" s="25" t="s">
        <v>4</v>
      </c>
      <c r="D53" s="26" t="s">
        <v>108</v>
      </c>
      <c r="E53" s="27" t="s">
        <v>9</v>
      </c>
      <c r="F53" s="488">
        <f>Tablo142[[#This Row],[Verimlilik
%]]+Tablo142[[#This Row],[Net İşçilik Kapasite Kaybı %]]</f>
        <v>98.064073571536255</v>
      </c>
      <c r="G53" s="43">
        <f t="shared" si="15"/>
        <v>71.824061510628681</v>
      </c>
      <c r="H53" s="43">
        <f>Tablo142[[#This Row],[Duruş]]/Tablo142[[#This Row],[Net Kapasite Direkt]]*100</f>
        <v>26.240012060907581</v>
      </c>
      <c r="I53" s="43">
        <f>(Tablo142[[#This Row],[Net Kapasite Direkt]]-Tablo142[[#This Row],[Toplam Girilen İşçilik]])/Tablo142[[#This Row],[Net Kapasite Direkt]]*100</f>
        <v>1.9359264284637399</v>
      </c>
      <c r="J53" s="28">
        <f t="shared" si="10"/>
        <v>5.401964350672972</v>
      </c>
      <c r="K53" s="29">
        <f t="shared" si="11"/>
        <v>2211</v>
      </c>
      <c r="L53" s="29">
        <f t="shared" si="12"/>
        <v>389.5</v>
      </c>
      <c r="M53" s="30">
        <f t="shared" si="13"/>
        <v>25.084175084175087</v>
      </c>
      <c r="N53" s="30">
        <f>Tablo142[[#This Row],[Ödünç İşçilik]]+Tablo142[[#This Row],[Üretilen Değer (Sap Verisi)]]</f>
        <v>1588.03</v>
      </c>
      <c r="O53" s="61">
        <f>SUMIFS(Tablo2[Nisan],Tablo2[BÖLÜM],Tablo142[[#This Row],[Bölüm]])/60</f>
        <v>580.16666666666663</v>
      </c>
      <c r="P53" s="31">
        <f>AC53+O53+Tablo142[[#This Row],[Ödünç İşçilik]]</f>
        <v>2168.1966666666667</v>
      </c>
      <c r="Q53" s="31">
        <f t="shared" si="14"/>
        <v>42.803333333333285</v>
      </c>
      <c r="R53" s="364">
        <v>10</v>
      </c>
      <c r="S53" s="364">
        <v>2</v>
      </c>
      <c r="T53" s="364">
        <v>2352.5</v>
      </c>
      <c r="U53" s="364">
        <v>396.5</v>
      </c>
      <c r="V53" s="158">
        <v>141.5</v>
      </c>
      <c r="W53" s="364">
        <v>7</v>
      </c>
      <c r="X53" s="363"/>
      <c r="Y53" s="364">
        <v>1711</v>
      </c>
      <c r="Z53" s="364">
        <v>368</v>
      </c>
      <c r="AA53" s="364">
        <v>500</v>
      </c>
      <c r="AB53" s="364">
        <v>21.5</v>
      </c>
      <c r="AC53" s="153">
        <f>Sayfa1!K346</f>
        <v>1588.03</v>
      </c>
    </row>
    <row r="54" spans="2:29" ht="19.95" customHeight="1" x14ac:dyDescent="0.3">
      <c r="B54" s="315" t="s">
        <v>111</v>
      </c>
      <c r="C54" s="25" t="s">
        <v>4</v>
      </c>
      <c r="D54" s="26" t="s">
        <v>108</v>
      </c>
      <c r="E54" s="27" t="s">
        <v>32</v>
      </c>
      <c r="F54" s="488">
        <f>Tablo142[[#This Row],[Verimlilik
%]]+Tablo142[[#This Row],[Net İşçilik Kapasite Kaybı %]]</f>
        <v>71.286313581541691</v>
      </c>
      <c r="G54" s="43">
        <f t="shared" si="15"/>
        <v>71.286313581541691</v>
      </c>
      <c r="H54" s="43">
        <f>Tablo142[[#This Row],[Duruş]]/Tablo142[[#This Row],[Net Kapasite Direkt]]*100</f>
        <v>0</v>
      </c>
      <c r="I54" s="43">
        <f>(Tablo142[[#This Row],[Net Kapasite Direkt]]-Tablo142[[#This Row],[Toplam Girilen İşçilik]])/Tablo142[[#This Row],[Net Kapasite Direkt]]*100</f>
        <v>28.713686418458305</v>
      </c>
      <c r="J54" s="28">
        <f t="shared" si="10"/>
        <v>5.7936160909488414</v>
      </c>
      <c r="K54" s="29">
        <f t="shared" si="11"/>
        <v>1907</v>
      </c>
      <c r="L54" s="29">
        <f t="shared" si="12"/>
        <v>247.5</v>
      </c>
      <c r="M54" s="30">
        <f t="shared" si="13"/>
        <v>32.788906009244997</v>
      </c>
      <c r="N54" s="30">
        <f>Tablo142[[#This Row],[Ödünç İşçilik]]+Tablo142[[#This Row],[Üretilen Değer (Sap Verisi)]]</f>
        <v>1359.43</v>
      </c>
      <c r="O54" s="61">
        <f>SUMIFS(Tablo2[Nisan],Tablo2[BÖLÜM],Tablo142[[#This Row],[Bölüm]])/60</f>
        <v>0</v>
      </c>
      <c r="P54" s="31">
        <f>AC54+O54+Tablo142[[#This Row],[Ödünç İşçilik]]</f>
        <v>1359.43</v>
      </c>
      <c r="Q54" s="31">
        <f t="shared" si="14"/>
        <v>547.56999999999994</v>
      </c>
      <c r="R54" s="364">
        <v>11</v>
      </c>
      <c r="S54" s="364">
        <v>1</v>
      </c>
      <c r="T54" s="364">
        <f>2534.5-495</f>
        <v>2039.5</v>
      </c>
      <c r="U54" s="364">
        <v>247.5</v>
      </c>
      <c r="V54" s="158">
        <v>132.5</v>
      </c>
      <c r="W54" s="364">
        <v>0</v>
      </c>
      <c r="X54" s="363"/>
      <c r="Y54" s="364">
        <f>1930-495</f>
        <v>1435</v>
      </c>
      <c r="Z54" s="364">
        <v>187.5</v>
      </c>
      <c r="AA54" s="364">
        <v>472</v>
      </c>
      <c r="AB54" s="364">
        <v>60</v>
      </c>
      <c r="AC54" s="153">
        <f>Sayfa1!K347</f>
        <v>1359.43</v>
      </c>
    </row>
    <row r="55" spans="2:29" ht="19.95" customHeight="1" x14ac:dyDescent="0.3">
      <c r="B55" s="315" t="s">
        <v>111</v>
      </c>
      <c r="C55" s="25" t="s">
        <v>4</v>
      </c>
      <c r="D55" s="26" t="s">
        <v>108</v>
      </c>
      <c r="E55" s="27" t="s">
        <v>26</v>
      </c>
      <c r="F55" s="488">
        <f>Tablo142[[#This Row],[Verimlilik
%]]+Tablo142[[#This Row],[Net İşçilik Kapasite Kaybı %]]</f>
        <v>78.397523809523804</v>
      </c>
      <c r="G55" s="43">
        <f t="shared" si="15"/>
        <v>63.034115288220548</v>
      </c>
      <c r="H55" s="43">
        <f>Tablo142[[#This Row],[Duruş]]/Tablo142[[#This Row],[Net Kapasite Direkt]]*100</f>
        <v>15.363408521303256</v>
      </c>
      <c r="I55" s="43">
        <f>(Tablo142[[#This Row],[Net Kapasite Direkt]]-Tablo142[[#This Row],[Toplam Girilen İşçilik]])/Tablo142[[#This Row],[Net Kapasite Direkt]]*100</f>
        <v>21.602476190476196</v>
      </c>
      <c r="J55" s="28">
        <f t="shared" si="10"/>
        <v>4.7277936962750715</v>
      </c>
      <c r="K55" s="29">
        <f t="shared" si="11"/>
        <v>1662.5</v>
      </c>
      <c r="L55" s="29">
        <f t="shared" si="12"/>
        <v>0</v>
      </c>
      <c r="M55" s="30">
        <f t="shared" si="13"/>
        <v>35.162601626016261</v>
      </c>
      <c r="N55" s="30">
        <f>Tablo142[[#This Row],[Ödünç İşçilik]]+Tablo142[[#This Row],[Üretilen Değer (Sap Verisi)]]</f>
        <v>1047.9421666666667</v>
      </c>
      <c r="O55" s="61">
        <f>SUMIFS(Tablo2[Nisan],Tablo2[BÖLÜM],Tablo142[[#This Row],[Bölüm]])/60</f>
        <v>255.41666666666666</v>
      </c>
      <c r="P55" s="31">
        <f>AC55+O55+Tablo142[[#This Row],[Ödünç İşçilik]]</f>
        <v>1303.3588333333332</v>
      </c>
      <c r="Q55" s="31">
        <f t="shared" si="14"/>
        <v>359.14116666666678</v>
      </c>
      <c r="R55" s="364">
        <v>7</v>
      </c>
      <c r="S55" s="364"/>
      <c r="T55" s="364">
        <v>1745</v>
      </c>
      <c r="U55" s="364"/>
      <c r="V55" s="158">
        <v>82.5</v>
      </c>
      <c r="W55" s="364"/>
      <c r="X55" s="363">
        <v>33</v>
      </c>
      <c r="Y55" s="364">
        <v>1230</v>
      </c>
      <c r="Z55" s="364"/>
      <c r="AA55" s="364">
        <v>432.5</v>
      </c>
      <c r="AB55" s="364"/>
      <c r="AC55" s="153">
        <f>Sayfa1!K348</f>
        <v>1014.9421666666666</v>
      </c>
    </row>
    <row r="56" spans="2:29" ht="19.95" customHeight="1" x14ac:dyDescent="0.3">
      <c r="B56" s="315" t="s">
        <v>111</v>
      </c>
      <c r="C56" s="25" t="s">
        <v>4</v>
      </c>
      <c r="D56" s="26" t="s">
        <v>108</v>
      </c>
      <c r="E56" s="27" t="s">
        <v>17</v>
      </c>
      <c r="F56" s="488">
        <f>Tablo142[[#This Row],[Verimlilik
%]]+Tablo142[[#This Row],[Net İşçilik Kapasite Kaybı %]]</f>
        <v>82.268737999650909</v>
      </c>
      <c r="G56" s="43">
        <f t="shared" si="15"/>
        <v>78.338441845580974</v>
      </c>
      <c r="H56" s="43">
        <f>Tablo142[[#This Row],[Duruş]]/Tablo142[[#This Row],[Net Kapasite Direkt]]*100</f>
        <v>3.9302961540699366</v>
      </c>
      <c r="I56" s="43">
        <f>(Tablo142[[#This Row],[Net Kapasite Direkt]]-Tablo142[[#This Row],[Toplam Girilen İşçilik]])/Tablo142[[#This Row],[Net Kapasite Direkt]]*100</f>
        <v>17.73126200034908</v>
      </c>
      <c r="J56" s="28">
        <f t="shared" si="10"/>
        <v>4.0037905709547505</v>
      </c>
      <c r="K56" s="29">
        <f t="shared" si="11"/>
        <v>2864.5</v>
      </c>
      <c r="L56" s="29">
        <f t="shared" si="12"/>
        <v>1187.5</v>
      </c>
      <c r="M56" s="30">
        <f t="shared" si="13"/>
        <v>32.917828440216503</v>
      </c>
      <c r="N56" s="30">
        <f>Tablo142[[#This Row],[Ödünç İşçilik]]+Tablo142[[#This Row],[Üretilen Değer (Sap Verisi)]]</f>
        <v>2244.0046666666672</v>
      </c>
      <c r="O56" s="61">
        <f>SUMIFS(Tablo2[Nisan],Tablo2[BÖLÜM],Tablo142[[#This Row],[Bölüm]])/60</f>
        <v>112.58333333333333</v>
      </c>
      <c r="P56" s="31">
        <f>AC56+O56+Tablo142[[#This Row],[Ödünç İşçilik]]</f>
        <v>2356.5880000000006</v>
      </c>
      <c r="Q56" s="31">
        <f t="shared" si="14"/>
        <v>507.91199999999935</v>
      </c>
      <c r="R56" s="364">
        <v>12</v>
      </c>
      <c r="S56" s="364">
        <v>7</v>
      </c>
      <c r="T56" s="364">
        <v>3008.5</v>
      </c>
      <c r="U56" s="364">
        <v>1212.5</v>
      </c>
      <c r="V56" s="158">
        <v>144</v>
      </c>
      <c r="W56" s="364">
        <v>25</v>
      </c>
      <c r="X56" s="363"/>
      <c r="Y56" s="364">
        <v>2083.5</v>
      </c>
      <c r="Z56" s="364">
        <v>965</v>
      </c>
      <c r="AA56" s="364">
        <v>781</v>
      </c>
      <c r="AB56" s="364">
        <v>222.5</v>
      </c>
      <c r="AC56" s="153">
        <f>Sayfa1!K358</f>
        <v>2244.0046666666672</v>
      </c>
    </row>
    <row r="57" spans="2:29" ht="19.95" customHeight="1" x14ac:dyDescent="0.3">
      <c r="B57" s="315" t="s">
        <v>111</v>
      </c>
      <c r="C57" s="25" t="s">
        <v>4</v>
      </c>
      <c r="D57" s="26" t="s">
        <v>108</v>
      </c>
      <c r="E57" s="27" t="s">
        <v>29</v>
      </c>
      <c r="F57" s="488">
        <f>Tablo142[[#This Row],[Verimlilik
%]]+Tablo142[[#This Row],[Net İşçilik Kapasite Kaybı %]]</f>
        <v>86.905835953129426</v>
      </c>
      <c r="G57" s="43">
        <f t="shared" si="15"/>
        <v>82.776084595598704</v>
      </c>
      <c r="H57" s="43">
        <f>Tablo142[[#This Row],[Duruş]]/Tablo142[[#This Row],[Net Kapasite Direkt]]*100</f>
        <v>4.129751357530723</v>
      </c>
      <c r="I57" s="43">
        <f>(Tablo142[[#This Row],[Net Kapasite Direkt]]-Tablo142[[#This Row],[Toplam Girilen İşçilik]])/Tablo142[[#This Row],[Net Kapasite Direkt]]*100</f>
        <v>13.094164046870574</v>
      </c>
      <c r="J57" s="28">
        <f t="shared" si="10"/>
        <v>3.0201964054104131</v>
      </c>
      <c r="K57" s="29">
        <f t="shared" si="11"/>
        <v>1749.5</v>
      </c>
      <c r="L57" s="29">
        <f t="shared" si="12"/>
        <v>867.5</v>
      </c>
      <c r="M57" s="30">
        <f t="shared" si="13"/>
        <v>35.175619834710744</v>
      </c>
      <c r="N57" s="30">
        <f>Tablo142[[#This Row],[Ödünç İşçilik]]+Tablo142[[#This Row],[Üretilen Değer (Sap Verisi)]]</f>
        <v>1448.1675999999993</v>
      </c>
      <c r="O57" s="61">
        <f>SUMIFS(Tablo2[Nisan],Tablo2[BÖLÜM],Tablo142[[#This Row],[Bölüm]])/60</f>
        <v>72.25</v>
      </c>
      <c r="P57" s="31">
        <f>AC57+O57+Tablo142[[#This Row],[Ödünç İşçilik]]</f>
        <v>1520.4175999999993</v>
      </c>
      <c r="Q57" s="31">
        <f t="shared" si="14"/>
        <v>229.08240000000069</v>
      </c>
      <c r="R57" s="364">
        <v>7</v>
      </c>
      <c r="S57" s="364">
        <v>4</v>
      </c>
      <c r="T57" s="364">
        <v>1813</v>
      </c>
      <c r="U57" s="364">
        <v>885.5</v>
      </c>
      <c r="V57" s="158">
        <v>63.5</v>
      </c>
      <c r="W57" s="364">
        <v>18</v>
      </c>
      <c r="X57" s="363"/>
      <c r="Y57" s="364">
        <v>1249</v>
      </c>
      <c r="Z57" s="364">
        <v>687</v>
      </c>
      <c r="AA57" s="364">
        <v>500.5</v>
      </c>
      <c r="AB57" s="364">
        <v>180.5</v>
      </c>
      <c r="AC57" s="153">
        <f>Sayfa1!K359</f>
        <v>1448.1675999999993</v>
      </c>
    </row>
    <row r="58" spans="2:29" ht="19.95" customHeight="1" x14ac:dyDescent="0.3">
      <c r="B58" s="315" t="s">
        <v>111</v>
      </c>
      <c r="C58" s="25" t="s">
        <v>4</v>
      </c>
      <c r="D58" s="26" t="s">
        <v>108</v>
      </c>
      <c r="E58" s="27" t="s">
        <v>43</v>
      </c>
      <c r="F58" s="488">
        <f>Tablo142[[#This Row],[Verimlilik
%]]+Tablo142[[#This Row],[Net İşçilik Kapasite Kaybı %]]</f>
        <v>109.50172497178787</v>
      </c>
      <c r="G58" s="43">
        <f t="shared" si="15"/>
        <v>84.234381213391387</v>
      </c>
      <c r="H58" s="43">
        <f>Tablo142[[#This Row],[Duruş]]/Tablo142[[#This Row],[Net Kapasite Direkt]]*100</f>
        <v>25.267343758396471</v>
      </c>
      <c r="I58" s="43">
        <f>(Tablo142[[#This Row],[Net Kapasite Direkt]]-Tablo142[[#This Row],[Toplam Girilen İşçilik]])/Tablo142[[#This Row],[Net Kapasite Direkt]]*100</f>
        <v>-9.5017249717878567</v>
      </c>
      <c r="J58" s="28">
        <f t="shared" si="10"/>
        <v>5.3303792519223254</v>
      </c>
      <c r="K58" s="29">
        <f t="shared" si="11"/>
        <v>3101.5</v>
      </c>
      <c r="L58" s="29">
        <f t="shared" si="12"/>
        <v>530.5</v>
      </c>
      <c r="M58" s="30">
        <f t="shared" si="13"/>
        <v>29.923090681452337</v>
      </c>
      <c r="N58" s="30">
        <f>Tablo142[[#This Row],[Ödünç İşçilik]]+Tablo142[[#This Row],[Üretilen Değer (Sap Verisi)]]</f>
        <v>2612.5293333333339</v>
      </c>
      <c r="O58" s="61">
        <f>SUMIFS(Tablo2[Nisan],Tablo2[BÖLÜM],Tablo142[[#This Row],[Bölüm]])/60</f>
        <v>783.66666666666663</v>
      </c>
      <c r="P58" s="31">
        <f>AC58+O58+Tablo142[[#This Row],[Ödünç İşçilik]]</f>
        <v>3396.1960000000004</v>
      </c>
      <c r="Q58" s="31">
        <f t="shared" si="14"/>
        <v>-294.69600000000037</v>
      </c>
      <c r="R58" s="364">
        <v>14</v>
      </c>
      <c r="S58" s="364">
        <v>2</v>
      </c>
      <c r="T58" s="364">
        <v>3298.5</v>
      </c>
      <c r="U58" s="364">
        <v>538</v>
      </c>
      <c r="V58" s="158">
        <v>197</v>
      </c>
      <c r="W58" s="364">
        <v>7.5</v>
      </c>
      <c r="X58" s="363"/>
      <c r="Y58" s="364">
        <v>2428</v>
      </c>
      <c r="Z58" s="364">
        <v>367.5</v>
      </c>
      <c r="AA58" s="364">
        <v>673.5</v>
      </c>
      <c r="AB58" s="364">
        <v>163</v>
      </c>
      <c r="AC58" s="153">
        <f>Sayfa1!K362</f>
        <v>2612.5293333333339</v>
      </c>
    </row>
    <row r="59" spans="2:29" ht="19.95" customHeight="1" x14ac:dyDescent="0.3">
      <c r="B59" s="315" t="s">
        <v>111</v>
      </c>
      <c r="C59" s="25" t="s">
        <v>4</v>
      </c>
      <c r="D59" s="26" t="s">
        <v>108</v>
      </c>
      <c r="E59" s="27" t="s">
        <v>19</v>
      </c>
      <c r="F59" s="488">
        <f>Tablo142[[#This Row],[Verimlilik
%]]+Tablo142[[#This Row],[Net İşçilik Kapasite Kaybı %]]</f>
        <v>75.777230898102914</v>
      </c>
      <c r="G59" s="43">
        <f>(AC59+X59)/K59*100</f>
        <v>63.269003769520374</v>
      </c>
      <c r="H59" s="43">
        <f>Tablo142[[#This Row],[Duruş]]/Tablo142[[#This Row],[Net Kapasite Direkt]]*100</f>
        <v>12.508227128582542</v>
      </c>
      <c r="I59" s="43">
        <f>(Tablo142[[#This Row],[Net Kapasite Direkt]]-Tablo142[[#This Row],[Toplam Girilen İşçilik]])/Tablo142[[#This Row],[Net Kapasite Direkt]]*100</f>
        <v>24.222769101897097</v>
      </c>
      <c r="J59" s="28"/>
      <c r="K59" s="29">
        <f t="shared" si="11"/>
        <v>2785.5</v>
      </c>
      <c r="L59" s="29">
        <f t="shared" si="12"/>
        <v>556.5</v>
      </c>
      <c r="M59" s="30">
        <f t="shared" si="13"/>
        <v>26.783004552352047</v>
      </c>
      <c r="N59" s="30">
        <f>Tablo142[[#This Row],[Ödünç İşçilik]]+Tablo142[[#This Row],[Üretilen Değer (Sap Verisi)]]</f>
        <v>1762.3580999999899</v>
      </c>
      <c r="O59" s="61">
        <f>SUMIFS(Tablo2[Nisan],Tablo2[BÖLÜM],Tablo142[[#This Row],[Bölüm]])/60</f>
        <v>348.41666666666669</v>
      </c>
      <c r="P59" s="31">
        <f>AC59+O59+Tablo142[[#This Row],[Ödünç İşçilik]]</f>
        <v>2110.7747666666564</v>
      </c>
      <c r="Q59" s="31">
        <f t="shared" si="14"/>
        <v>674.72523333334357</v>
      </c>
      <c r="R59" s="364">
        <v>13</v>
      </c>
      <c r="S59" s="364">
        <v>3</v>
      </c>
      <c r="T59" s="364">
        <v>3036</v>
      </c>
      <c r="U59" s="364">
        <v>602.5</v>
      </c>
      <c r="V59" s="158">
        <v>250.5</v>
      </c>
      <c r="W59" s="364">
        <v>46</v>
      </c>
      <c r="X59" s="363"/>
      <c r="Y59" s="364">
        <v>2187</v>
      </c>
      <c r="Z59" s="364">
        <v>449</v>
      </c>
      <c r="AA59" s="364">
        <v>598.5</v>
      </c>
      <c r="AB59" s="364">
        <v>107.5</v>
      </c>
      <c r="AC59" s="153">
        <f>-1762.35809999999*-1</f>
        <v>1762.3580999999899</v>
      </c>
    </row>
    <row r="60" spans="2:29" ht="19.95" customHeight="1" x14ac:dyDescent="0.3">
      <c r="B60" s="315" t="s">
        <v>111</v>
      </c>
      <c r="C60" s="25" t="s">
        <v>4</v>
      </c>
      <c r="D60" s="26" t="s">
        <v>25</v>
      </c>
      <c r="E60" s="27" t="s">
        <v>40</v>
      </c>
      <c r="F60" s="488">
        <f>Tablo142[[#This Row],[Verimlilik
%]]+Tablo142[[#This Row],[Net İşçilik Kapasite Kaybı %]]</f>
        <v>70.092086874409816</v>
      </c>
      <c r="G60" s="43">
        <f t="shared" si="15"/>
        <v>56.376317280453257</v>
      </c>
      <c r="H60" s="43">
        <f>Tablo142[[#This Row],[Duruş]]/Tablo142[[#This Row],[Net Kapasite Direkt]]*100</f>
        <v>13.715769593956564</v>
      </c>
      <c r="I60" s="43">
        <f>(Tablo142[[#This Row],[Net Kapasite Direkt]]-Tablo142[[#This Row],[Toplam Girilen İşçilik]])/Tablo142[[#This Row],[Net Kapasite Direkt]]*100</f>
        <v>29.907913125590174</v>
      </c>
      <c r="J60" s="28">
        <f t="shared" si="10"/>
        <v>7.5244231968405737</v>
      </c>
      <c r="K60" s="29">
        <f t="shared" si="11"/>
        <v>1765</v>
      </c>
      <c r="L60" s="29">
        <f t="shared" si="12"/>
        <v>459.5</v>
      </c>
      <c r="M60" s="30">
        <f t="shared" si="13"/>
        <v>31.316410861865407</v>
      </c>
      <c r="N60" s="30">
        <f>Tablo142[[#This Row],[Ödünç İşçilik]]+Tablo142[[#This Row],[Üretilen Değer (Sap Verisi)]]</f>
        <v>995.04200000000003</v>
      </c>
      <c r="O60" s="61">
        <f>SUMIFS(Tablo2[Nisan],Tablo2[BÖLÜM],Tablo142[[#This Row],[Bölüm]])/60</f>
        <v>242.08333333333334</v>
      </c>
      <c r="P60" s="31">
        <f>AC60+O60+Tablo142[[#This Row],[Ödünç İşçilik]]</f>
        <v>1237.1253333333334</v>
      </c>
      <c r="Q60" s="31">
        <f t="shared" si="14"/>
        <v>527.8746666666666</v>
      </c>
      <c r="R60" s="364">
        <v>8</v>
      </c>
      <c r="S60" s="364">
        <v>2</v>
      </c>
      <c r="T60" s="364">
        <v>1907</v>
      </c>
      <c r="U60" s="364">
        <v>498.5</v>
      </c>
      <c r="V60" s="158">
        <v>142</v>
      </c>
      <c r="W60" s="364">
        <v>39</v>
      </c>
      <c r="X60" s="363">
        <f>4540/60</f>
        <v>75.666666666666671</v>
      </c>
      <c r="Y60" s="364">
        <v>1358</v>
      </c>
      <c r="Z60" s="364">
        <v>336</v>
      </c>
      <c r="AA60" s="364">
        <v>407</v>
      </c>
      <c r="AB60" s="364">
        <v>123.5</v>
      </c>
      <c r="AC60" s="153">
        <f>Sayfa1!K363</f>
        <v>919.3753333333334</v>
      </c>
    </row>
    <row r="61" spans="2:29" ht="19.95" customHeight="1" x14ac:dyDescent="0.3">
      <c r="B61" s="315" t="s">
        <v>111</v>
      </c>
      <c r="C61" s="25" t="s">
        <v>4</v>
      </c>
      <c r="D61" s="26" t="s">
        <v>25</v>
      </c>
      <c r="E61" s="27" t="s">
        <v>35</v>
      </c>
      <c r="F61" s="488">
        <f>Tablo142[[#This Row],[Verimlilik
%]]+Tablo142[[#This Row],[Net İşçilik Kapasite Kaybı %]]</f>
        <v>74.806238752249556</v>
      </c>
      <c r="G61" s="43">
        <f t="shared" si="15"/>
        <v>74.806238752249556</v>
      </c>
      <c r="H61" s="43">
        <f>Tablo142[[#This Row],[Duruş]]/Tablo142[[#This Row],[Net Kapasite Direkt]]*100</f>
        <v>0</v>
      </c>
      <c r="I61" s="43">
        <f>(Tablo142[[#This Row],[Net Kapasite Direkt]]-Tablo142[[#This Row],[Toplam Girilen İşçilik]])/Tablo142[[#This Row],[Net Kapasite Direkt]]*100</f>
        <v>25.193761247750444</v>
      </c>
      <c r="J61" s="28">
        <f t="shared" si="10"/>
        <v>4.1078414696376937</v>
      </c>
      <c r="K61" s="29">
        <f t="shared" si="11"/>
        <v>4167.5</v>
      </c>
      <c r="L61" s="29">
        <f t="shared" si="12"/>
        <v>1470</v>
      </c>
      <c r="M61" s="30">
        <f t="shared" si="13"/>
        <v>29.642405427158792</v>
      </c>
      <c r="N61" s="30">
        <f>Tablo142[[#This Row],[Ödünç İşçilik]]+Tablo142[[#This Row],[Üretilen Değer (Sap Verisi)]]</f>
        <v>3117.55</v>
      </c>
      <c r="O61" s="61">
        <f>SUMIFS(Tablo2[Nisan],Tablo2[BÖLÜM],Tablo142[[#This Row],[Bölüm]])/60</f>
        <v>0</v>
      </c>
      <c r="P61" s="31">
        <f>AC61+O61+Tablo142[[#This Row],[Ödünç İşçilik]]</f>
        <v>3117.55</v>
      </c>
      <c r="Q61" s="31">
        <f t="shared" si="14"/>
        <v>1049.9499999999998</v>
      </c>
      <c r="R61" s="364">
        <v>19</v>
      </c>
      <c r="S61" s="364">
        <v>6</v>
      </c>
      <c r="T61" s="364">
        <v>4386.5</v>
      </c>
      <c r="U61" s="364">
        <v>1492.5</v>
      </c>
      <c r="V61" s="158">
        <v>219</v>
      </c>
      <c r="W61" s="364">
        <v>22.5</v>
      </c>
      <c r="X61" s="363"/>
      <c r="Y61" s="364">
        <v>3246</v>
      </c>
      <c r="Z61" s="364">
        <v>1102.5</v>
      </c>
      <c r="AA61" s="364">
        <v>921.5</v>
      </c>
      <c r="AB61" s="364">
        <v>367.5</v>
      </c>
      <c r="AC61" s="153">
        <f>Sayfa1!K364</f>
        <v>3117.55</v>
      </c>
    </row>
    <row r="62" spans="2:29" ht="19.95" customHeight="1" x14ac:dyDescent="0.3">
      <c r="B62" s="315" t="s">
        <v>111</v>
      </c>
      <c r="C62" s="25" t="s">
        <v>4</v>
      </c>
      <c r="D62" s="26" t="s">
        <v>25</v>
      </c>
      <c r="E62" s="27" t="s">
        <v>25</v>
      </c>
      <c r="F62" s="488">
        <f>Tablo142[[#This Row],[Verimlilik
%]]+Tablo142[[#This Row],[Net İşçilik Kapasite Kaybı %]]</f>
        <v>61.090128755364802</v>
      </c>
      <c r="G62" s="43">
        <f t="shared" si="15"/>
        <v>61.090128755364802</v>
      </c>
      <c r="H62" s="43">
        <f>Tablo142[[#This Row],[Duruş]]/Tablo142[[#This Row],[Net Kapasite Direkt]]*100</f>
        <v>0</v>
      </c>
      <c r="I62" s="43">
        <f>(Tablo142[[#This Row],[Net Kapasite Direkt]]-Tablo142[[#This Row],[Toplam Girilen İşçilik]])/Tablo142[[#This Row],[Net Kapasite Direkt]]*100</f>
        <v>38.909871244635191</v>
      </c>
      <c r="J62" s="28">
        <f t="shared" si="10"/>
        <v>3.9296494079405622</v>
      </c>
      <c r="K62" s="29">
        <f t="shared" si="11"/>
        <v>13397.5</v>
      </c>
      <c r="L62" s="29">
        <f t="shared" si="12"/>
        <v>3153.5</v>
      </c>
      <c r="M62" s="30">
        <f t="shared" si="13"/>
        <v>24.065814624639255</v>
      </c>
      <c r="N62" s="30">
        <f>Tablo142[[#This Row],[Ödünç İşçilik]]+Tablo142[[#This Row],[Üretilen Değer (Sap Verisi)]]</f>
        <v>8184.55</v>
      </c>
      <c r="O62" s="61">
        <f>SUMIFS(Tablo2[Nisan],Tablo2[BÖLÜM],Tablo142[[#This Row],[Bölüm]])/60</f>
        <v>0</v>
      </c>
      <c r="P62" s="31">
        <f>AC62+O62+Tablo142[[#This Row],[Ödünç İşçilik]]</f>
        <v>8184.55</v>
      </c>
      <c r="Q62" s="31">
        <f t="shared" si="14"/>
        <v>5212.95</v>
      </c>
      <c r="R62" s="364">
        <v>61</v>
      </c>
      <c r="S62" s="364">
        <v>14</v>
      </c>
      <c r="T62" s="364">
        <v>13948</v>
      </c>
      <c r="U62" s="364">
        <v>3280</v>
      </c>
      <c r="V62" s="158">
        <v>550.5</v>
      </c>
      <c r="W62" s="364">
        <v>126.5</v>
      </c>
      <c r="X62" s="363"/>
      <c r="Y62" s="364">
        <v>10842</v>
      </c>
      <c r="Z62" s="364">
        <v>2498.5</v>
      </c>
      <c r="AA62" s="364">
        <v>2555.5</v>
      </c>
      <c r="AB62" s="364">
        <v>655</v>
      </c>
      <c r="AC62" s="153">
        <f>Sayfa1!K365</f>
        <v>8184.55</v>
      </c>
    </row>
    <row r="63" spans="2:29" ht="19.95" customHeight="1" x14ac:dyDescent="0.3">
      <c r="B63" s="315" t="s">
        <v>111</v>
      </c>
      <c r="C63" s="25" t="s">
        <v>4</v>
      </c>
      <c r="D63" s="26" t="s">
        <v>25</v>
      </c>
      <c r="E63" s="27" t="s">
        <v>23</v>
      </c>
      <c r="F63" s="488">
        <f>Tablo142[[#This Row],[Verimlilik
%]]+Tablo142[[#This Row],[Net İşçilik Kapasite Kaybı %]]</f>
        <v>60.683757874554942</v>
      </c>
      <c r="G63" s="43">
        <f t="shared" si="15"/>
        <v>60.683757874554942</v>
      </c>
      <c r="H63" s="43">
        <f>Tablo142[[#This Row],[Duruş]]/Tablo142[[#This Row],[Net Kapasite Direkt]]*100</f>
        <v>0</v>
      </c>
      <c r="I63" s="43">
        <f>(Tablo142[[#This Row],[Net Kapasite Direkt]]-Tablo142[[#This Row],[Toplam Girilen İşçilik]])/Tablo142[[#This Row],[Net Kapasite Direkt]]*100</f>
        <v>39.316242125445058</v>
      </c>
      <c r="J63" s="28">
        <f t="shared" si="10"/>
        <v>2.2448979591836733</v>
      </c>
      <c r="K63" s="29">
        <f t="shared" si="11"/>
        <v>1217</v>
      </c>
      <c r="L63" s="29">
        <f t="shared" si="12"/>
        <v>220</v>
      </c>
      <c r="M63" s="30">
        <f t="shared" si="13"/>
        <v>31.593406593406591</v>
      </c>
      <c r="N63" s="30">
        <f>Tablo142[[#This Row],[Ödünç İşçilik]]+Tablo142[[#This Row],[Üretilen Değer (Sap Verisi)]]</f>
        <v>738.5213333333337</v>
      </c>
      <c r="O63" s="61">
        <f>SUMIFS(Tablo2[Nisan],Tablo2[BÖLÜM],Tablo142[[#This Row],[Bölüm]])/60</f>
        <v>0</v>
      </c>
      <c r="P63" s="31">
        <f>AC63+O63+Tablo142[[#This Row],[Ödünç İşçilik]]</f>
        <v>738.5213333333337</v>
      </c>
      <c r="Q63" s="31">
        <f t="shared" si="14"/>
        <v>478.4786666666663</v>
      </c>
      <c r="R63" s="364">
        <v>5</v>
      </c>
      <c r="S63" s="364">
        <v>1</v>
      </c>
      <c r="T63" s="364">
        <v>1224.5</v>
      </c>
      <c r="U63" s="364">
        <v>245.5</v>
      </c>
      <c r="V63" s="158">
        <v>7.5</v>
      </c>
      <c r="W63" s="364">
        <v>25.5</v>
      </c>
      <c r="X63" s="363"/>
      <c r="Y63" s="364">
        <v>930</v>
      </c>
      <c r="Z63" s="364">
        <v>162</v>
      </c>
      <c r="AA63" s="364">
        <v>287</v>
      </c>
      <c r="AB63" s="364">
        <v>58</v>
      </c>
      <c r="AC63" s="153">
        <f>Sayfa1!K366</f>
        <v>738.5213333333337</v>
      </c>
    </row>
    <row r="64" spans="2:29" ht="19.95" customHeight="1" thickBot="1" x14ac:dyDescent="0.35">
      <c r="B64" s="315" t="s">
        <v>111</v>
      </c>
      <c r="C64" s="25" t="s">
        <v>4</v>
      </c>
      <c r="D64" s="26" t="s">
        <v>25</v>
      </c>
      <c r="E64" s="27" t="s">
        <v>20</v>
      </c>
      <c r="F64" s="488">
        <f>Tablo142[[#This Row],[Verimlilik
%]]+Tablo142[[#This Row],[Net İşçilik Kapasite Kaybı %]]</f>
        <v>58.858853060436381</v>
      </c>
      <c r="G64" s="43">
        <f t="shared" si="15"/>
        <v>58.858853060436381</v>
      </c>
      <c r="H64" s="43">
        <f>Tablo142[[#This Row],[Duruş]]/Tablo142[[#This Row],[Net Kapasite Direkt]]*100</f>
        <v>0</v>
      </c>
      <c r="I64" s="43">
        <f>(Tablo142[[#This Row],[Net Kapasite Direkt]]-Tablo142[[#This Row],[Toplam Girilen İşçilik]])/Tablo142[[#This Row],[Net Kapasite Direkt]]*100</f>
        <v>41.141146939563619</v>
      </c>
      <c r="J64" s="28">
        <f t="shared" si="10"/>
        <v>3.6221498371335503</v>
      </c>
      <c r="K64" s="29">
        <f t="shared" si="11"/>
        <v>2589.5</v>
      </c>
      <c r="L64" s="29">
        <f t="shared" si="12"/>
        <v>1109</v>
      </c>
      <c r="M64" s="30">
        <f t="shared" si="13"/>
        <v>26.943538699159085</v>
      </c>
      <c r="N64" s="30">
        <f>Tablo142[[#This Row],[Ödünç İşçilik]]+Tablo142[[#This Row],[Üretilen Değer (Sap Verisi)]]</f>
        <v>1524.15</v>
      </c>
      <c r="O64" s="61">
        <f>SUMIFS(Tablo2[Nisan],Tablo2[BÖLÜM],Tablo142[[#This Row],[Bölüm]])/60</f>
        <v>0</v>
      </c>
      <c r="P64" s="31">
        <f>AC64+O64+Tablo142[[#This Row],[Ödünç İşçilik]]</f>
        <v>1524.15</v>
      </c>
      <c r="Q64" s="31">
        <f t="shared" si="14"/>
        <v>1065.3499999999999</v>
      </c>
      <c r="R64" s="325">
        <v>12</v>
      </c>
      <c r="S64" s="325">
        <v>5</v>
      </c>
      <c r="T64" s="325">
        <v>2655.5</v>
      </c>
      <c r="U64" s="325">
        <v>1182</v>
      </c>
      <c r="V64" s="326">
        <v>66</v>
      </c>
      <c r="W64" s="325">
        <v>73</v>
      </c>
      <c r="X64" s="386"/>
      <c r="Y64" s="325">
        <v>2049</v>
      </c>
      <c r="Z64" s="325">
        <v>864.5</v>
      </c>
      <c r="AA64" s="325">
        <v>540.5</v>
      </c>
      <c r="AB64" s="325">
        <v>244.5</v>
      </c>
      <c r="AC64" s="153">
        <f>Sayfa1!K367</f>
        <v>1524.15</v>
      </c>
    </row>
    <row r="65" spans="2:29" ht="19.95" customHeight="1" x14ac:dyDescent="0.3">
      <c r="B65" s="312" t="s">
        <v>112</v>
      </c>
      <c r="C65" s="215" t="s">
        <v>4</v>
      </c>
      <c r="D65" s="216" t="s">
        <v>108</v>
      </c>
      <c r="E65" s="217" t="s">
        <v>5</v>
      </c>
      <c r="F65" s="487">
        <f>Tablo142[[#This Row],[Verimlilik
%]]+Tablo142[[#This Row],[Net İşçilik Kapasite Kaybı %]]</f>
        <v>74.527780805988584</v>
      </c>
      <c r="G65" s="219">
        <f t="shared" si="15"/>
        <v>74.527780805988584</v>
      </c>
      <c r="H65" s="219">
        <f>Tablo142[[#This Row],[Duruş]]/Tablo142[[#This Row],[Net Kapasite Direkt]]*100</f>
        <v>0</v>
      </c>
      <c r="I65" s="219">
        <f>(Tablo142[[#This Row],[Net Kapasite Direkt]]-Tablo142[[#This Row],[Toplam Girilen İşçilik]])/Tablo142[[#This Row],[Net Kapasite Direkt]]*100</f>
        <v>25.472219194011409</v>
      </c>
      <c r="J65" s="220">
        <f t="shared" si="10"/>
        <v>5.1433389544688026</v>
      </c>
      <c r="K65" s="221">
        <f t="shared" si="11"/>
        <v>4586.5</v>
      </c>
      <c r="L65" s="221">
        <f t="shared" si="12"/>
        <v>476</v>
      </c>
      <c r="M65" s="222">
        <f t="shared" si="13"/>
        <v>48.875165416850464</v>
      </c>
      <c r="N65" s="222">
        <f>Tablo142[[#This Row],[Ödünç İşçilik]]+Tablo142[[#This Row],[Üretilen Değer (Sap Verisi)]]</f>
        <v>3418.2166666666667</v>
      </c>
      <c r="O65" s="223">
        <f>SUMIFS(Tablo2[Mayıs],Tablo2[BÖLÜM],Tablo142[[#This Row],[Bölüm]])/60</f>
        <v>0</v>
      </c>
      <c r="P65" s="224">
        <f>AC65+O65+Tablo142[[#This Row],[Ödünç İşçilik]]</f>
        <v>3418.2166666666667</v>
      </c>
      <c r="Q65" s="224">
        <f t="shared" si="14"/>
        <v>1168.2833333333333</v>
      </c>
      <c r="R65" s="225">
        <v>22</v>
      </c>
      <c r="S65" s="225">
        <v>2</v>
      </c>
      <c r="T65" s="225">
        <v>4853</v>
      </c>
      <c r="U65" s="225">
        <v>484</v>
      </c>
      <c r="V65" s="226">
        <v>266.5</v>
      </c>
      <c r="W65" s="225">
        <v>8</v>
      </c>
      <c r="X65" s="378"/>
      <c r="Y65" s="225">
        <v>3093.5</v>
      </c>
      <c r="Z65" s="225">
        <v>307</v>
      </c>
      <c r="AA65" s="225">
        <v>1493</v>
      </c>
      <c r="AB65" s="225">
        <v>169</v>
      </c>
      <c r="AC65" s="387">
        <f>Sayfa1!M442</f>
        <v>3418.2166666666667</v>
      </c>
    </row>
    <row r="66" spans="2:29" ht="19.95" customHeight="1" x14ac:dyDescent="0.3">
      <c r="B66" s="315" t="s">
        <v>112</v>
      </c>
      <c r="C66" s="25" t="s">
        <v>4</v>
      </c>
      <c r="D66" s="26" t="s">
        <v>108</v>
      </c>
      <c r="E66" s="27" t="s">
        <v>46</v>
      </c>
      <c r="F66" s="488">
        <f>Tablo142[[#This Row],[Verimlilik
%]]+Tablo142[[#This Row],[Net İşçilik Kapasite Kaybı %]]</f>
        <v>99.380879397840644</v>
      </c>
      <c r="G66" s="43">
        <f t="shared" si="15"/>
        <v>98.086645550219657</v>
      </c>
      <c r="H66" s="43">
        <f>Tablo142[[#This Row],[Duruş]]/Tablo142[[#This Row],[Net Kapasite Direkt]]*100</f>
        <v>1.2942338476209938</v>
      </c>
      <c r="I66" s="43">
        <f>(Tablo142[[#This Row],[Net Kapasite Direkt]]-Tablo142[[#This Row],[Toplam Girilen İşçilik]])/Tablo142[[#This Row],[Net Kapasite Direkt]]*100</f>
        <v>0.61912060215935394</v>
      </c>
      <c r="J66" s="28">
        <f t="shared" si="10"/>
        <v>3.5383402326039821</v>
      </c>
      <c r="K66" s="29">
        <f t="shared" si="11"/>
        <v>4893.5</v>
      </c>
      <c r="L66" s="29">
        <f t="shared" si="12"/>
        <v>0</v>
      </c>
      <c r="M66" s="30">
        <f t="shared" si="13"/>
        <v>25.297657150172832</v>
      </c>
      <c r="N66" s="30">
        <f>Tablo142[[#This Row],[Ödünç İşçilik]]+Tablo142[[#This Row],[Üretilen Değer (Sap Verisi)]]</f>
        <v>4799.869999999999</v>
      </c>
      <c r="O66" s="61">
        <f>SUMIFS(Tablo2[Mayıs],Tablo2[BÖLÜM],Tablo142[[#This Row],[Bölüm]])/60</f>
        <v>63.333333333333336</v>
      </c>
      <c r="P66" s="31">
        <f>AC66+O66+Tablo142[[#This Row],[Ödünç İşçilik]]</f>
        <v>4863.203333333332</v>
      </c>
      <c r="Q66" s="31">
        <f t="shared" si="14"/>
        <v>30.296666666667988</v>
      </c>
      <c r="R66" s="364">
        <v>18</v>
      </c>
      <c r="S66" s="364"/>
      <c r="T66" s="364">
        <f>3823+1250</f>
        <v>5073</v>
      </c>
      <c r="U66" s="364"/>
      <c r="V66" s="158">
        <v>179.5</v>
      </c>
      <c r="W66" s="364"/>
      <c r="X66" s="377"/>
      <c r="Y66" s="364">
        <f>2655.5+1250</f>
        <v>3905.5</v>
      </c>
      <c r="Z66" s="364"/>
      <c r="AA66" s="364">
        <v>988</v>
      </c>
      <c r="AB66" s="364"/>
      <c r="AC66" s="388">
        <f>Sayfa1!M443</f>
        <v>4799.869999999999</v>
      </c>
    </row>
    <row r="67" spans="2:29" ht="19.95" customHeight="1" x14ac:dyDescent="0.3">
      <c r="B67" s="315" t="s">
        <v>112</v>
      </c>
      <c r="C67" s="25" t="s">
        <v>4</v>
      </c>
      <c r="D67" s="26" t="s">
        <v>108</v>
      </c>
      <c r="E67" s="27" t="s">
        <v>13</v>
      </c>
      <c r="F67" s="488">
        <f>Tablo142[[#This Row],[Verimlilik
%]]+Tablo142[[#This Row],[Net İşçilik Kapasite Kaybı %]]</f>
        <v>97.495183044315993</v>
      </c>
      <c r="G67" s="43">
        <f t="shared" si="15"/>
        <v>97.495183044315993</v>
      </c>
      <c r="H67" s="43">
        <f>Tablo142[[#This Row],[Duruş]]/Tablo142[[#This Row],[Net Kapasite Direkt]]*100</f>
        <v>0</v>
      </c>
      <c r="I67" s="43">
        <f>(Tablo142[[#This Row],[Net Kapasite Direkt]]-Tablo142[[#This Row],[Toplam Girilen İşçilik]])/Tablo142[[#This Row],[Net Kapasite Direkt]]*100</f>
        <v>2.504816955684003</v>
      </c>
      <c r="J67" s="28">
        <f t="shared" si="10"/>
        <v>5.6016332780400662</v>
      </c>
      <c r="K67" s="29">
        <f t="shared" si="11"/>
        <v>3200.5</v>
      </c>
      <c r="L67" s="29">
        <f t="shared" si="12"/>
        <v>498.5</v>
      </c>
      <c r="M67" s="30">
        <f t="shared" si="13"/>
        <v>54.414527238572319</v>
      </c>
      <c r="N67" s="30">
        <f>Tablo142[[#This Row],[Ödünç İşçilik]]+Tablo142[[#This Row],[Üretilen Değer (Sap Verisi)]]</f>
        <v>3120.3333333333335</v>
      </c>
      <c r="O67" s="61">
        <f>SUMIFS(Tablo2[Mayıs],Tablo2[BÖLÜM],Tablo142[[#This Row],[Bölüm]])/60</f>
        <v>0</v>
      </c>
      <c r="P67" s="31">
        <f>AC67+O67+Tablo142[[#This Row],[Ödünç İşçilik]]</f>
        <v>3120.3333333333335</v>
      </c>
      <c r="Q67" s="31">
        <f t="shared" si="14"/>
        <v>80.166666666666515</v>
      </c>
      <c r="R67" s="364">
        <v>20</v>
      </c>
      <c r="S67" s="364">
        <v>2</v>
      </c>
      <c r="T67" s="364">
        <f>4264.5-850</f>
        <v>3414.5</v>
      </c>
      <c r="U67" s="364">
        <v>504</v>
      </c>
      <c r="V67" s="158">
        <v>214</v>
      </c>
      <c r="W67" s="364">
        <v>5.5</v>
      </c>
      <c r="X67" s="377"/>
      <c r="Y67" s="364">
        <f>2936-850</f>
        <v>2086</v>
      </c>
      <c r="Z67" s="364">
        <v>309.5</v>
      </c>
      <c r="AA67" s="364">
        <v>1114.5</v>
      </c>
      <c r="AB67" s="364">
        <v>189</v>
      </c>
      <c r="AC67" s="388">
        <f>Sayfa1!M444</f>
        <v>3120.3333333333335</v>
      </c>
    </row>
    <row r="68" spans="2:29" ht="19.95" customHeight="1" x14ac:dyDescent="0.3">
      <c r="B68" s="315" t="s">
        <v>112</v>
      </c>
      <c r="C68" s="25" t="s">
        <v>4</v>
      </c>
      <c r="D68" s="26" t="s">
        <v>108</v>
      </c>
      <c r="E68" s="27" t="s">
        <v>9</v>
      </c>
      <c r="F68" s="488">
        <f>Tablo142[[#This Row],[Verimlilik
%]]+Tablo142[[#This Row],[Net İşçilik Kapasite Kaybı %]]</f>
        <v>98.694895591647338</v>
      </c>
      <c r="G68" s="43">
        <f t="shared" si="15"/>
        <v>79.886890951276101</v>
      </c>
      <c r="H68" s="43">
        <f>Tablo142[[#This Row],[Duruş]]/Tablo142[[#This Row],[Net Kapasite Direkt]]*100</f>
        <v>18.80800464037123</v>
      </c>
      <c r="I68" s="43">
        <f>(Tablo142[[#This Row],[Net Kapasite Direkt]]-Tablo142[[#This Row],[Toplam Girilen İşçilik]])/Tablo142[[#This Row],[Net Kapasite Direkt]]*100</f>
        <v>1.3051044083526682</v>
      </c>
      <c r="J68" s="28">
        <f t="shared" si="10"/>
        <v>12.353838332486019</v>
      </c>
      <c r="K68" s="29">
        <f t="shared" si="11"/>
        <v>1724</v>
      </c>
      <c r="L68" s="29">
        <f t="shared" si="12"/>
        <v>0</v>
      </c>
      <c r="M68" s="30">
        <f t="shared" si="13"/>
        <v>57.155879671832267</v>
      </c>
      <c r="N68" s="30">
        <f>Tablo142[[#This Row],[Ödünç İşçilik]]+Tablo142[[#This Row],[Üretilen Değer (Sap Verisi)]]</f>
        <v>1377.25</v>
      </c>
      <c r="O68" s="61">
        <f>SUMIFS(Tablo2[Mayıs],Tablo2[BÖLÜM],Tablo142[[#This Row],[Bölüm]])/60</f>
        <v>324.25</v>
      </c>
      <c r="P68" s="31">
        <f>AC68+O68+Tablo142[[#This Row],[Ödünç İşçilik]]</f>
        <v>1701.5</v>
      </c>
      <c r="Q68" s="31">
        <f t="shared" si="14"/>
        <v>22.5</v>
      </c>
      <c r="R68" s="364">
        <v>11</v>
      </c>
      <c r="S68" s="364"/>
      <c r="T68" s="364">
        <f>2367-400</f>
        <v>1967</v>
      </c>
      <c r="U68" s="364"/>
      <c r="V68" s="158">
        <v>243</v>
      </c>
      <c r="W68" s="364"/>
      <c r="X68" s="377">
        <f>1080/60</f>
        <v>18</v>
      </c>
      <c r="Y68" s="364">
        <f>1497-400</f>
        <v>1097</v>
      </c>
      <c r="Z68" s="364"/>
      <c r="AA68" s="364">
        <v>627</v>
      </c>
      <c r="AB68" s="364"/>
      <c r="AC68" s="388">
        <f>Sayfa1!M445</f>
        <v>1359.25</v>
      </c>
    </row>
    <row r="69" spans="2:29" ht="19.95" customHeight="1" x14ac:dyDescent="0.3">
      <c r="B69" s="315" t="s">
        <v>112</v>
      </c>
      <c r="C69" s="25" t="s">
        <v>4</v>
      </c>
      <c r="D69" s="26" t="s">
        <v>108</v>
      </c>
      <c r="E69" s="27" t="s">
        <v>32</v>
      </c>
      <c r="F69" s="488">
        <f>Tablo142[[#This Row],[Verimlilik
%]]+Tablo142[[#This Row],[Net İşçilik Kapasite Kaybı %]]</f>
        <v>15.297611894307062</v>
      </c>
      <c r="G69" s="43">
        <f t="shared" si="15"/>
        <v>15.297611894307062</v>
      </c>
      <c r="H69" s="43">
        <f>Tablo142[[#This Row],[Duruş]]/Tablo142[[#This Row],[Net Kapasite Direkt]]*100</f>
        <v>0</v>
      </c>
      <c r="I69" s="43">
        <f>(Tablo142[[#This Row],[Net Kapasite Direkt]]-Tablo142[[#This Row],[Toplam Girilen İşçilik]])/Tablo142[[#This Row],[Net Kapasite Direkt]]*100</f>
        <v>84.702388105692933</v>
      </c>
      <c r="J69" s="28">
        <f t="shared" si="10"/>
        <v>9.2205508888454766</v>
      </c>
      <c r="K69" s="29">
        <f t="shared" si="11"/>
        <v>2163.5</v>
      </c>
      <c r="L69" s="29">
        <f t="shared" si="12"/>
        <v>160</v>
      </c>
      <c r="M69" s="30">
        <f t="shared" si="13"/>
        <v>40.477629987908102</v>
      </c>
      <c r="N69" s="30">
        <f>Tablo142[[#This Row],[Ödünç İşçilik]]+Tablo142[[#This Row],[Üretilen Değer (Sap Verisi)]]</f>
        <v>330.9638333333333</v>
      </c>
      <c r="O69" s="61">
        <f>SUMIFS(Tablo2[Mayıs],Tablo2[BÖLÜM],Tablo142[[#This Row],[Bölüm]])/60</f>
        <v>0</v>
      </c>
      <c r="P69" s="31">
        <f>AC69+O69+Tablo142[[#This Row],[Ödünç İşçilik]]</f>
        <v>330.9638333333333</v>
      </c>
      <c r="Q69" s="31">
        <f t="shared" si="14"/>
        <v>1832.5361666666668</v>
      </c>
      <c r="R69" s="364">
        <v>11</v>
      </c>
      <c r="S69" s="364">
        <v>1</v>
      </c>
      <c r="T69" s="364">
        <v>2347</v>
      </c>
      <c r="U69" s="364">
        <v>212.5</v>
      </c>
      <c r="V69" s="158">
        <v>183.5</v>
      </c>
      <c r="W69" s="364">
        <v>52.5</v>
      </c>
      <c r="X69" s="377"/>
      <c r="Y69" s="364">
        <v>1549</v>
      </c>
      <c r="Z69" s="364">
        <v>105</v>
      </c>
      <c r="AA69" s="364">
        <v>614.5</v>
      </c>
      <c r="AB69" s="364">
        <v>55</v>
      </c>
      <c r="AC69" s="388">
        <f>Sayfa1!M446</f>
        <v>330.9638333333333</v>
      </c>
    </row>
    <row r="70" spans="2:29" ht="19.95" customHeight="1" x14ac:dyDescent="0.3">
      <c r="B70" s="315" t="s">
        <v>112</v>
      </c>
      <c r="C70" s="25" t="s">
        <v>4</v>
      </c>
      <c r="D70" s="26" t="s">
        <v>108</v>
      </c>
      <c r="E70" s="27" t="s">
        <v>26</v>
      </c>
      <c r="F70" s="488">
        <f>Tablo142[[#This Row],[Verimlilik
%]]+Tablo142[[#This Row],[Net İşçilik Kapasite Kaybı %]]</f>
        <v>59.530287256603039</v>
      </c>
      <c r="G70" s="43">
        <f t="shared" si="15"/>
        <v>34.504260651629068</v>
      </c>
      <c r="H70" s="43">
        <f>Tablo142[[#This Row],[Duruş]]/Tablo142[[#This Row],[Net Kapasite Direkt]]*100</f>
        <v>25.026026604973971</v>
      </c>
      <c r="I70" s="43">
        <f>(Tablo142[[#This Row],[Net Kapasite Direkt]]-Tablo142[[#This Row],[Toplam Girilen İşçilik]])/Tablo142[[#This Row],[Net Kapasite Direkt]]*100</f>
        <v>40.469712743396954</v>
      </c>
      <c r="J70" s="28">
        <f t="shared" si="10"/>
        <v>1.7613636363636362</v>
      </c>
      <c r="K70" s="29">
        <f t="shared" si="11"/>
        <v>1729</v>
      </c>
      <c r="L70" s="29">
        <f t="shared" si="12"/>
        <v>0</v>
      </c>
      <c r="M70" s="30">
        <f t="shared" si="13"/>
        <v>40.683482506102528</v>
      </c>
      <c r="N70" s="30">
        <f>Tablo142[[#This Row],[Ödünç İşçilik]]+Tablo142[[#This Row],[Üretilen Değer (Sap Verisi)]]</f>
        <v>596.57866666666655</v>
      </c>
      <c r="O70" s="61">
        <f>SUMIFS(Tablo2[Mayıs],Tablo2[BÖLÜM],Tablo142[[#This Row],[Bölüm]])/60</f>
        <v>432.7</v>
      </c>
      <c r="P70" s="31">
        <f>AC70+O70+Tablo142[[#This Row],[Ödünç İşçilik]]</f>
        <v>1029.2786666666666</v>
      </c>
      <c r="Q70" s="31">
        <f t="shared" si="14"/>
        <v>699.7213333333334</v>
      </c>
      <c r="R70" s="364">
        <v>8</v>
      </c>
      <c r="S70" s="364"/>
      <c r="T70" s="364">
        <v>1760</v>
      </c>
      <c r="U70" s="364"/>
      <c r="V70" s="158">
        <v>31</v>
      </c>
      <c r="W70" s="364"/>
      <c r="X70" s="377"/>
      <c r="Y70" s="364">
        <v>1229</v>
      </c>
      <c r="Z70" s="364"/>
      <c r="AA70" s="364">
        <v>500</v>
      </c>
      <c r="AB70" s="364"/>
      <c r="AC70" s="388">
        <f>Sayfa1!M447</f>
        <v>596.57866666666655</v>
      </c>
    </row>
    <row r="71" spans="2:29" ht="19.95" customHeight="1" x14ac:dyDescent="0.3">
      <c r="B71" s="315" t="s">
        <v>112</v>
      </c>
      <c r="C71" s="25" t="s">
        <v>4</v>
      </c>
      <c r="D71" s="26" t="s">
        <v>108</v>
      </c>
      <c r="E71" s="27" t="s">
        <v>17</v>
      </c>
      <c r="F71" s="488">
        <f>Tablo142[[#This Row],[Verimlilik
%]]+Tablo142[[#This Row],[Net İşçilik Kapasite Kaybı %]]</f>
        <v>61.398132457202152</v>
      </c>
      <c r="G71" s="43">
        <f t="shared" si="15"/>
        <v>60.619989624762241</v>
      </c>
      <c r="H71" s="43">
        <f>Tablo142[[#This Row],[Duruş]]/Tablo142[[#This Row],[Net Kapasite Direkt]]*100</f>
        <v>0.77814283243991</v>
      </c>
      <c r="I71" s="43">
        <f>(Tablo142[[#This Row],[Net Kapasite Direkt]]-Tablo142[[#This Row],[Toplam Girilen İşçilik]])/Tablo142[[#This Row],[Net Kapasite Direkt]]*100</f>
        <v>38.601867542797855</v>
      </c>
      <c r="J71" s="28">
        <f t="shared" si="10"/>
        <v>3.4126292190808325</v>
      </c>
      <c r="K71" s="29">
        <f t="shared" si="11"/>
        <v>2891.5</v>
      </c>
      <c r="L71" s="29">
        <f t="shared" si="12"/>
        <v>986</v>
      </c>
      <c r="M71" s="30">
        <f t="shared" si="13"/>
        <v>40.974368296673333</v>
      </c>
      <c r="N71" s="30">
        <f>Tablo142[[#This Row],[Ödünç İşçilik]]+Tablo142[[#This Row],[Üretilen Değer (Sap Verisi)]]</f>
        <v>1752.827</v>
      </c>
      <c r="O71" s="61">
        <f>SUMIFS(Tablo2[Mayıs],Tablo2[BÖLÜM],Tablo142[[#This Row],[Bölüm]])/60</f>
        <v>22.5</v>
      </c>
      <c r="P71" s="31">
        <f>AC71+O71+Tablo142[[#This Row],[Ödünç İşçilik]]</f>
        <v>1775.327</v>
      </c>
      <c r="Q71" s="31">
        <f t="shared" si="14"/>
        <v>1116.173</v>
      </c>
      <c r="R71" s="364">
        <v>14</v>
      </c>
      <c r="S71" s="364">
        <v>5</v>
      </c>
      <c r="T71" s="364">
        <v>2995</v>
      </c>
      <c r="U71" s="364">
        <v>1019.5</v>
      </c>
      <c r="V71" s="158">
        <v>103.5</v>
      </c>
      <c r="W71" s="364">
        <v>33.5</v>
      </c>
      <c r="X71" s="363"/>
      <c r="Y71" s="364">
        <v>1996.5</v>
      </c>
      <c r="Z71" s="364">
        <v>754</v>
      </c>
      <c r="AA71" s="364">
        <v>895</v>
      </c>
      <c r="AB71" s="364">
        <v>232</v>
      </c>
      <c r="AC71" s="388">
        <f>Sayfa1!M457</f>
        <v>1752.827</v>
      </c>
    </row>
    <row r="72" spans="2:29" ht="19.95" customHeight="1" x14ac:dyDescent="0.3">
      <c r="B72" s="315" t="s">
        <v>112</v>
      </c>
      <c r="C72" s="25" t="s">
        <v>4</v>
      </c>
      <c r="D72" s="26" t="s">
        <v>108</v>
      </c>
      <c r="E72" s="27" t="s">
        <v>29</v>
      </c>
      <c r="F72" s="488">
        <f>Tablo142[[#This Row],[Verimlilik
%]]+Tablo142[[#This Row],[Net İşçilik Kapasite Kaybı %]]</f>
        <v>44.490383424624916</v>
      </c>
      <c r="G72" s="43">
        <f t="shared" si="15"/>
        <v>43.930726363419865</v>
      </c>
      <c r="H72" s="43">
        <f>Tablo142[[#This Row],[Duruş]]/Tablo142[[#This Row],[Net Kapasite Direkt]]*100</f>
        <v>0.55965706120504877</v>
      </c>
      <c r="I72" s="43">
        <f>(Tablo142[[#This Row],[Net Kapasite Direkt]]-Tablo142[[#This Row],[Toplam Girilen İşçilik]])/Tablo142[[#This Row],[Net Kapasite Direkt]]*100</f>
        <v>55.509616575375084</v>
      </c>
      <c r="J72" s="28">
        <f t="shared" si="10"/>
        <v>2.7303120356612185</v>
      </c>
      <c r="K72" s="29">
        <f t="shared" si="11"/>
        <v>2099.5</v>
      </c>
      <c r="L72" s="29">
        <f t="shared" si="12"/>
        <v>519</v>
      </c>
      <c r="M72" s="30">
        <f t="shared" si="13"/>
        <v>57.836045810729352</v>
      </c>
      <c r="N72" s="30">
        <f>Tablo142[[#This Row],[Ödünç İşçilik]]+Tablo142[[#This Row],[Üretilen Değer (Sap Verisi)]]</f>
        <v>922.32560000000001</v>
      </c>
      <c r="O72" s="61">
        <f>SUMIFS(Tablo2[Mayıs],Tablo2[BÖLÜM],Tablo142[[#This Row],[Bölüm]])/60</f>
        <v>11.75</v>
      </c>
      <c r="P72" s="31">
        <f>AC72+O72+Tablo142[[#This Row],[Ödünç İşçilik]]</f>
        <v>934.07560000000001</v>
      </c>
      <c r="Q72" s="31">
        <f t="shared" si="14"/>
        <v>1165.4243999999999</v>
      </c>
      <c r="R72" s="364">
        <v>9</v>
      </c>
      <c r="S72" s="364">
        <v>2</v>
      </c>
      <c r="T72" s="364">
        <v>2158</v>
      </c>
      <c r="U72" s="364">
        <v>534</v>
      </c>
      <c r="V72" s="158">
        <v>58.5</v>
      </c>
      <c r="W72" s="364">
        <v>15</v>
      </c>
      <c r="X72" s="363"/>
      <c r="Y72" s="364">
        <v>1359</v>
      </c>
      <c r="Z72" s="364">
        <v>300</v>
      </c>
      <c r="AA72" s="364">
        <v>740.5</v>
      </c>
      <c r="AB72" s="364">
        <v>219</v>
      </c>
      <c r="AC72" s="388">
        <f>Sayfa1!M458</f>
        <v>922.32560000000001</v>
      </c>
    </row>
    <row r="73" spans="2:29" ht="19.95" customHeight="1" x14ac:dyDescent="0.3">
      <c r="B73" s="315" t="s">
        <v>112</v>
      </c>
      <c r="C73" s="25" t="s">
        <v>4</v>
      </c>
      <c r="D73" s="26" t="s">
        <v>108</v>
      </c>
      <c r="E73" s="27" t="s">
        <v>43</v>
      </c>
      <c r="F73" s="488">
        <f>Tablo142[[#This Row],[Verimlilik
%]]+Tablo142[[#This Row],[Net İşçilik Kapasite Kaybı %]]</f>
        <v>88.171669626998209</v>
      </c>
      <c r="G73" s="43">
        <f t="shared" ref="G73:G113" si="16">(AC73+X73)/K73*100</f>
        <v>73.861426879810523</v>
      </c>
      <c r="H73" s="43">
        <f>Tablo142[[#This Row],[Duruş]]/Tablo142[[#This Row],[Net Kapasite Direkt]]*100</f>
        <v>14.310242747187685</v>
      </c>
      <c r="I73" s="43">
        <f>(Tablo142[[#This Row],[Net Kapasite Direkt]]-Tablo142[[#This Row],[Toplam Girilen İşçilik]])/Tablo142[[#This Row],[Net Kapasite Direkt]]*100</f>
        <v>11.828330373001783</v>
      </c>
      <c r="J73" s="28">
        <f t="shared" si="10"/>
        <v>4.0951122853368567</v>
      </c>
      <c r="K73" s="29">
        <f t="shared" si="11"/>
        <v>2815</v>
      </c>
      <c r="L73" s="29">
        <f t="shared" si="12"/>
        <v>815</v>
      </c>
      <c r="M73" s="30">
        <f t="shared" si="13"/>
        <v>35.447761194029852</v>
      </c>
      <c r="N73" s="30">
        <f>Tablo142[[#This Row],[Ödünç İşçilik]]+Tablo142[[#This Row],[Üretilen Değer (Sap Verisi)]]</f>
        <v>2079.1991666666663</v>
      </c>
      <c r="O73" s="61">
        <f>SUMIFS(Tablo2[Mayıs],Tablo2[BÖLÜM],Tablo142[[#This Row],[Bölüm]])/60</f>
        <v>402.83333333333331</v>
      </c>
      <c r="P73" s="31">
        <f>AC73+O73+Tablo142[[#This Row],[Ödünç İşçilik]]</f>
        <v>2482.0324999999998</v>
      </c>
      <c r="Q73" s="31">
        <f t="shared" si="14"/>
        <v>332.9675000000002</v>
      </c>
      <c r="R73" s="364">
        <v>14</v>
      </c>
      <c r="S73" s="364">
        <v>4</v>
      </c>
      <c r="T73" s="364">
        <v>2930</v>
      </c>
      <c r="U73" s="364">
        <v>855</v>
      </c>
      <c r="V73" s="158">
        <v>115</v>
      </c>
      <c r="W73" s="364">
        <v>40</v>
      </c>
      <c r="X73" s="363"/>
      <c r="Y73" s="364">
        <v>2090</v>
      </c>
      <c r="Z73" s="364">
        <v>590</v>
      </c>
      <c r="AA73" s="364">
        <v>725</v>
      </c>
      <c r="AB73" s="364">
        <v>225</v>
      </c>
      <c r="AC73" s="388">
        <f>Sayfa1!M461</f>
        <v>2079.1991666666663</v>
      </c>
    </row>
    <row r="74" spans="2:29" ht="19.95" customHeight="1" x14ac:dyDescent="0.3">
      <c r="B74" s="315" t="s">
        <v>112</v>
      </c>
      <c r="C74" s="25" t="s">
        <v>4</v>
      </c>
      <c r="D74" s="26" t="s">
        <v>108</v>
      </c>
      <c r="E74" s="27" t="s">
        <v>19</v>
      </c>
      <c r="F74" s="488">
        <f>Tablo142[[#This Row],[Verimlilik
%]]+Tablo142[[#This Row],[Net İşçilik Kapasite Kaybı %]]</f>
        <v>75.582816448426371</v>
      </c>
      <c r="G74" s="43">
        <f>(AC74+X74)/K74*100</f>
        <v>62.143808867447738</v>
      </c>
      <c r="H74" s="43">
        <f>Tablo142[[#This Row],[Duruş]]/Tablo142[[#This Row],[Net Kapasite Direkt]]*100</f>
        <v>13.439007580978634</v>
      </c>
      <c r="I74" s="43">
        <f>(Tablo142[[#This Row],[Net Kapasite Direkt]]-Tablo142[[#This Row],[Toplam Girilen İşçilik]])/Tablo142[[#This Row],[Net Kapasite Direkt]]*100</f>
        <v>24.417183551573629</v>
      </c>
      <c r="J74" s="28">
        <f t="shared" si="10"/>
        <v>10.657562713373906</v>
      </c>
      <c r="K74" s="29">
        <f t="shared" si="11"/>
        <v>2176.5</v>
      </c>
      <c r="L74" s="29">
        <f t="shared" si="12"/>
        <v>833</v>
      </c>
      <c r="M74" s="30">
        <f t="shared" si="13"/>
        <v>29.803752426137585</v>
      </c>
      <c r="N74" s="30">
        <f>Tablo142[[#This Row],[Ödünç İşçilik]]+Tablo142[[#This Row],[Üretilen Değer (Sap Verisi)]]</f>
        <v>1352.56</v>
      </c>
      <c r="O74" s="61">
        <f>SUMIFS(Tablo2[Mayıs],Tablo2[BÖLÜM],Tablo142[[#This Row],[Bölüm]])/60</f>
        <v>292.5</v>
      </c>
      <c r="P74" s="31">
        <f>AC74+O74+Tablo142[[#This Row],[Ödünç İşçilik]]</f>
        <v>1645.06</v>
      </c>
      <c r="Q74" s="31">
        <f t="shared" si="14"/>
        <v>531.44000000000005</v>
      </c>
      <c r="R74" s="364">
        <v>13</v>
      </c>
      <c r="S74" s="364">
        <v>4</v>
      </c>
      <c r="T74" s="364">
        <v>2513.5</v>
      </c>
      <c r="U74" s="364">
        <v>855</v>
      </c>
      <c r="V74" s="158">
        <v>337</v>
      </c>
      <c r="W74" s="364">
        <v>22</v>
      </c>
      <c r="X74" s="363"/>
      <c r="Y74" s="364">
        <v>1710.5</v>
      </c>
      <c r="Z74" s="364">
        <v>608</v>
      </c>
      <c r="AA74" s="364">
        <v>466</v>
      </c>
      <c r="AB74" s="364">
        <v>225</v>
      </c>
      <c r="AC74" s="388">
        <v>1352.56</v>
      </c>
    </row>
    <row r="75" spans="2:29" ht="19.95" customHeight="1" x14ac:dyDescent="0.3">
      <c r="B75" s="315" t="s">
        <v>112</v>
      </c>
      <c r="C75" s="25" t="s">
        <v>4</v>
      </c>
      <c r="D75" s="26" t="s">
        <v>25</v>
      </c>
      <c r="E75" s="27" t="s">
        <v>40</v>
      </c>
      <c r="F75" s="488">
        <f>Tablo142[[#This Row],[Verimlilik
%]]+Tablo142[[#This Row],[Net İşçilik Kapasite Kaybı %]]</f>
        <v>61.575937609533831</v>
      </c>
      <c r="G75" s="43">
        <f t="shared" si="16"/>
        <v>47.730862250262888</v>
      </c>
      <c r="H75" s="43">
        <f>Tablo142[[#This Row],[Duruş]]/Tablo142[[#This Row],[Net Kapasite Direkt]]*100</f>
        <v>13.845075359270941</v>
      </c>
      <c r="I75" s="43">
        <f>(Tablo142[[#This Row],[Net Kapasite Direkt]]-Tablo142[[#This Row],[Toplam Girilen İşçilik]])/Tablo142[[#This Row],[Net Kapasite Direkt]]*100</f>
        <v>38.424062390466176</v>
      </c>
      <c r="J75" s="28">
        <f t="shared" si="10"/>
        <v>10.688635403464302</v>
      </c>
      <c r="K75" s="29">
        <f t="shared" si="11"/>
        <v>1902</v>
      </c>
      <c r="L75" s="29">
        <f t="shared" si="12"/>
        <v>212</v>
      </c>
      <c r="M75" s="30">
        <f t="shared" si="13"/>
        <v>31.549471064094586</v>
      </c>
      <c r="N75" s="30">
        <f>Tablo142[[#This Row],[Ödünç İşçilik]]+Tablo142[[#This Row],[Üretilen Değer (Sap Verisi)]]</f>
        <v>907.84100000000001</v>
      </c>
      <c r="O75" s="61">
        <f>SUMIFS(Tablo2[Mayıs],Tablo2[BÖLÜM],Tablo142[[#This Row],[Bölüm]])/60</f>
        <v>263.33333333333331</v>
      </c>
      <c r="P75" s="31">
        <f>AC75+O75+Tablo142[[#This Row],[Ödünç İşçilik]]</f>
        <v>1171.1743333333334</v>
      </c>
      <c r="Q75" s="31">
        <f t="shared" si="14"/>
        <v>730.82566666666662</v>
      </c>
      <c r="R75" s="364">
        <v>10</v>
      </c>
      <c r="S75" s="364">
        <v>2</v>
      </c>
      <c r="T75" s="364">
        <v>1922.5</v>
      </c>
      <c r="U75" s="364">
        <v>444.5</v>
      </c>
      <c r="V75" s="158">
        <v>20.5</v>
      </c>
      <c r="W75" s="364">
        <v>232.5</v>
      </c>
      <c r="X75" s="363">
        <f>28230/60</f>
        <v>470.5</v>
      </c>
      <c r="Y75" s="364">
        <v>1449.5</v>
      </c>
      <c r="Z75" s="364">
        <v>157.5</v>
      </c>
      <c r="AA75" s="364">
        <v>452.5</v>
      </c>
      <c r="AB75" s="364">
        <v>54.5</v>
      </c>
      <c r="AC75" s="388">
        <f>Sayfa1!M462</f>
        <v>437.34100000000001</v>
      </c>
    </row>
    <row r="76" spans="2:29" ht="19.95" customHeight="1" x14ac:dyDescent="0.3">
      <c r="B76" s="315" t="s">
        <v>112</v>
      </c>
      <c r="C76" s="25" t="s">
        <v>4</v>
      </c>
      <c r="D76" s="26" t="s">
        <v>25</v>
      </c>
      <c r="E76" s="27" t="s">
        <v>35</v>
      </c>
      <c r="F76" s="488">
        <f>Tablo142[[#This Row],[Verimlilik
%]]+Tablo142[[#This Row],[Net İşçilik Kapasite Kaybı %]]</f>
        <v>95.706874189364456</v>
      </c>
      <c r="G76" s="43">
        <f t="shared" si="16"/>
        <v>91.037613488975353</v>
      </c>
      <c r="H76" s="43">
        <f>Tablo142[[#This Row],[Duruş]]/Tablo142[[#This Row],[Net Kapasite Direkt]]*100</f>
        <v>4.6692607003891053</v>
      </c>
      <c r="I76" s="43">
        <f>(Tablo142[[#This Row],[Net Kapasite Direkt]]-Tablo142[[#This Row],[Toplam Girilen İşçilik]])/Tablo142[[#This Row],[Net Kapasite Direkt]]*100</f>
        <v>4.293125810635539</v>
      </c>
      <c r="J76" s="28">
        <f t="shared" si="10"/>
        <v>6.1830015313935682</v>
      </c>
      <c r="K76" s="29">
        <f t="shared" si="11"/>
        <v>3598</v>
      </c>
      <c r="L76" s="29">
        <f t="shared" si="12"/>
        <v>1303</v>
      </c>
      <c r="M76" s="30">
        <f t="shared" si="13"/>
        <v>35.592751417900125</v>
      </c>
      <c r="N76" s="30">
        <f>Tablo142[[#This Row],[Ödünç İşçilik]]+Tablo142[[#This Row],[Üretilen Değer (Sap Verisi)]]</f>
        <v>3275.5333333333333</v>
      </c>
      <c r="O76" s="61">
        <f>SUMIFS(Tablo2[Mayıs],Tablo2[BÖLÜM],Tablo142[[#This Row],[Bölüm]])/60</f>
        <v>168</v>
      </c>
      <c r="P76" s="31">
        <f>AC76+O76+Tablo142[[#This Row],[Ödünç İşçilik]]</f>
        <v>3443.5333333333333</v>
      </c>
      <c r="Q76" s="31">
        <f t="shared" si="14"/>
        <v>154.4666666666667</v>
      </c>
      <c r="R76" s="364">
        <v>19</v>
      </c>
      <c r="S76" s="364">
        <v>6</v>
      </c>
      <c r="T76" s="364">
        <v>3892.5</v>
      </c>
      <c r="U76" s="364">
        <v>1331.5</v>
      </c>
      <c r="V76" s="158">
        <v>294.5</v>
      </c>
      <c r="W76" s="364">
        <v>28.5</v>
      </c>
      <c r="X76" s="363">
        <f>19140/60</f>
        <v>319</v>
      </c>
      <c r="Y76" s="364">
        <v>2698</v>
      </c>
      <c r="Z76" s="364">
        <v>916.5</v>
      </c>
      <c r="AA76" s="364">
        <v>900</v>
      </c>
      <c r="AB76" s="364">
        <v>386.5</v>
      </c>
      <c r="AC76" s="388">
        <f>Sayfa1!M463</f>
        <v>2956.5333333333333</v>
      </c>
    </row>
    <row r="77" spans="2:29" ht="19.95" customHeight="1" x14ac:dyDescent="0.3">
      <c r="B77" s="315" t="s">
        <v>112</v>
      </c>
      <c r="C77" s="25" t="s">
        <v>4</v>
      </c>
      <c r="D77" s="26" t="s">
        <v>25</v>
      </c>
      <c r="E77" s="27" t="s">
        <v>25</v>
      </c>
      <c r="F77" s="488">
        <f>Tablo142[[#This Row],[Verimlilik
%]]+Tablo142[[#This Row],[Net İşçilik Kapasite Kaybı %]]</f>
        <v>52.816376835148162</v>
      </c>
      <c r="G77" s="43">
        <f t="shared" si="16"/>
        <v>52.816376835148162</v>
      </c>
      <c r="H77" s="43">
        <f>Tablo142[[#This Row],[Duruş]]/Tablo142[[#This Row],[Net Kapasite Direkt]]*100</f>
        <v>0</v>
      </c>
      <c r="I77" s="43">
        <f>(Tablo142[[#This Row],[Net Kapasite Direkt]]-Tablo142[[#This Row],[Toplam Girilen İşçilik]])/Tablo142[[#This Row],[Net Kapasite Direkt]]*100</f>
        <v>47.183623164851838</v>
      </c>
      <c r="J77" s="28">
        <f t="shared" si="10"/>
        <v>4.8778162636245197</v>
      </c>
      <c r="K77" s="29">
        <f t="shared" si="11"/>
        <v>12306</v>
      </c>
      <c r="L77" s="29">
        <f t="shared" si="12"/>
        <v>2661</v>
      </c>
      <c r="M77" s="30">
        <f t="shared" si="13"/>
        <v>29.95007597134795</v>
      </c>
      <c r="N77" s="30">
        <f>Tablo142[[#This Row],[Ödünç İşçilik]]+Tablo142[[#This Row],[Üretilen Değer (Sap Verisi)]]</f>
        <v>6499.583333333333</v>
      </c>
      <c r="O77" s="61">
        <f>SUMIFS(Tablo2[Mayıs],Tablo2[BÖLÜM],Tablo142[[#This Row],[Bölüm]])/60</f>
        <v>0</v>
      </c>
      <c r="P77" s="31">
        <f>AC77+O77+Tablo142[[#This Row],[Ödünç İşçilik]]</f>
        <v>6499.583333333333</v>
      </c>
      <c r="Q77" s="31">
        <f t="shared" si="14"/>
        <v>5806.416666666667</v>
      </c>
      <c r="R77" s="364">
        <v>65</v>
      </c>
      <c r="S77" s="364">
        <v>14</v>
      </c>
      <c r="T77" s="364">
        <v>12950.5</v>
      </c>
      <c r="U77" s="364">
        <v>2784</v>
      </c>
      <c r="V77" s="158">
        <v>644.5</v>
      </c>
      <c r="W77" s="364">
        <v>123</v>
      </c>
      <c r="X77" s="363"/>
      <c r="Y77" s="364">
        <v>9488</v>
      </c>
      <c r="Z77" s="364">
        <v>2029.5</v>
      </c>
      <c r="AA77" s="364">
        <v>2818</v>
      </c>
      <c r="AB77" s="364">
        <v>631.5</v>
      </c>
      <c r="AC77" s="388">
        <f>Sayfa1!M464</f>
        <v>6499.583333333333</v>
      </c>
    </row>
    <row r="78" spans="2:29" ht="19.95" customHeight="1" x14ac:dyDescent="0.3">
      <c r="B78" s="315" t="s">
        <v>112</v>
      </c>
      <c r="C78" s="25" t="s">
        <v>4</v>
      </c>
      <c r="D78" s="26" t="s">
        <v>25</v>
      </c>
      <c r="E78" s="27" t="s">
        <v>23</v>
      </c>
      <c r="F78" s="488">
        <f>Tablo142[[#This Row],[Verimlilik
%]]+Tablo142[[#This Row],[Net İşçilik Kapasite Kaybı %]]</f>
        <v>74.791598173515993</v>
      </c>
      <c r="G78" s="43">
        <f t="shared" si="16"/>
        <v>74.791598173515993</v>
      </c>
      <c r="H78" s="43">
        <f>Tablo142[[#This Row],[Duruş]]/Tablo142[[#This Row],[Net Kapasite Direkt]]*100</f>
        <v>0</v>
      </c>
      <c r="I78" s="43">
        <f>(Tablo142[[#This Row],[Net Kapasite Direkt]]-Tablo142[[#This Row],[Toplam Girilen İşçilik]])/Tablo142[[#This Row],[Net Kapasite Direkt]]*100</f>
        <v>25.208401826484</v>
      </c>
      <c r="J78" s="28">
        <f t="shared" si="10"/>
        <v>10.07252215954875</v>
      </c>
      <c r="K78" s="29">
        <f t="shared" si="11"/>
        <v>912.5</v>
      </c>
      <c r="L78" s="29">
        <f t="shared" si="12"/>
        <v>203.5</v>
      </c>
      <c r="M78" s="30">
        <f t="shared" si="13"/>
        <v>36.097560975609753</v>
      </c>
      <c r="N78" s="30">
        <f>Tablo142[[#This Row],[Ödünç İşçilik]]+Tablo142[[#This Row],[Üretilen Değer (Sap Verisi)]]</f>
        <v>682.47333333333347</v>
      </c>
      <c r="O78" s="61">
        <f>SUMIFS(Tablo2[Mayıs],Tablo2[BÖLÜM],Tablo142[[#This Row],[Bölüm]])/60</f>
        <v>0</v>
      </c>
      <c r="P78" s="31">
        <f>AC78+O78+Tablo142[[#This Row],[Ödünç İşçilik]]</f>
        <v>682.47333333333347</v>
      </c>
      <c r="Q78" s="31">
        <f t="shared" si="14"/>
        <v>230.02666666666653</v>
      </c>
      <c r="R78" s="364">
        <v>5</v>
      </c>
      <c r="S78" s="364">
        <v>1</v>
      </c>
      <c r="T78" s="364">
        <v>1028.5</v>
      </c>
      <c r="U78" s="364">
        <v>212.5</v>
      </c>
      <c r="V78" s="158">
        <v>116</v>
      </c>
      <c r="W78" s="364">
        <v>9</v>
      </c>
      <c r="X78" s="363"/>
      <c r="Y78" s="364">
        <v>671.5</v>
      </c>
      <c r="Z78" s="364">
        <v>148.5</v>
      </c>
      <c r="AA78" s="364">
        <v>241</v>
      </c>
      <c r="AB78" s="364">
        <v>55</v>
      </c>
      <c r="AC78" s="388">
        <f>Sayfa1!M465</f>
        <v>682.47333333333347</v>
      </c>
    </row>
    <row r="79" spans="2:29" ht="19.95" customHeight="1" thickBot="1" x14ac:dyDescent="0.35">
      <c r="B79" s="315" t="s">
        <v>112</v>
      </c>
      <c r="C79" s="25" t="s">
        <v>4</v>
      </c>
      <c r="D79" s="26" t="s">
        <v>25</v>
      </c>
      <c r="E79" s="27" t="s">
        <v>20</v>
      </c>
      <c r="F79" s="488">
        <f>Tablo142[[#This Row],[Verimlilik
%]]+Tablo142[[#This Row],[Net İşçilik Kapasite Kaybı %]]</f>
        <v>62.71875</v>
      </c>
      <c r="G79" s="43">
        <f t="shared" si="16"/>
        <v>62.71875</v>
      </c>
      <c r="H79" s="43">
        <f>Tablo142[[#This Row],[Duruş]]/Tablo142[[#This Row],[Net Kapasite Direkt]]*100</f>
        <v>0</v>
      </c>
      <c r="I79" s="43">
        <f>(Tablo142[[#This Row],[Net Kapasite Direkt]]-Tablo142[[#This Row],[Toplam Girilen İşçilik]])/Tablo142[[#This Row],[Net Kapasite Direkt]]*100</f>
        <v>37.28125</v>
      </c>
      <c r="J79" s="28">
        <f t="shared" si="10"/>
        <v>8.8087025736269577</v>
      </c>
      <c r="K79" s="29">
        <f t="shared" si="11"/>
        <v>2400</v>
      </c>
      <c r="L79" s="29">
        <f t="shared" si="12"/>
        <v>1037</v>
      </c>
      <c r="M79" s="30">
        <f t="shared" si="13"/>
        <v>46.535919846514602</v>
      </c>
      <c r="N79" s="30">
        <f>Tablo142[[#This Row],[Ödünç İşçilik]]+Tablo142[[#This Row],[Üretilen Değer (Sap Verisi)]]</f>
        <v>1505.25</v>
      </c>
      <c r="O79" s="61">
        <f>SUMIFS(Tablo2[Mayıs],Tablo2[BÖLÜM],Tablo142[[#This Row],[Bölüm]])/60</f>
        <v>0</v>
      </c>
      <c r="P79" s="31">
        <f>AC79+O79+Tablo142[[#This Row],[Ödünç İşçilik]]</f>
        <v>1505.25</v>
      </c>
      <c r="Q79" s="31">
        <f t="shared" si="14"/>
        <v>894.75</v>
      </c>
      <c r="R79" s="325">
        <v>11</v>
      </c>
      <c r="S79" s="325">
        <v>6</v>
      </c>
      <c r="T79" s="325">
        <v>2489.5</v>
      </c>
      <c r="U79" s="325">
        <v>1279.5</v>
      </c>
      <c r="V79" s="326">
        <v>89.5</v>
      </c>
      <c r="W79" s="325">
        <v>242.5</v>
      </c>
      <c r="X79" s="386"/>
      <c r="Y79" s="325">
        <v>1643</v>
      </c>
      <c r="Z79" s="325">
        <v>702.5</v>
      </c>
      <c r="AA79" s="325">
        <v>757</v>
      </c>
      <c r="AB79" s="325">
        <v>334.5</v>
      </c>
      <c r="AC79" s="153">
        <f>Sayfa1!M466</f>
        <v>1505.25</v>
      </c>
    </row>
    <row r="80" spans="2:29" ht="19.95" customHeight="1" x14ac:dyDescent="0.3">
      <c r="B80" s="312" t="s">
        <v>113</v>
      </c>
      <c r="C80" s="215" t="s">
        <v>4</v>
      </c>
      <c r="D80" s="216" t="s">
        <v>108</v>
      </c>
      <c r="E80" s="217" t="s">
        <v>5</v>
      </c>
      <c r="F80" s="487">
        <f>Tablo142[[#This Row],[Verimlilik
%]]+Tablo142[[#This Row],[Net İşçilik Kapasite Kaybı %]]</f>
        <v>62.476174961309766</v>
      </c>
      <c r="G80" s="219">
        <f t="shared" si="16"/>
        <v>60.857701392848419</v>
      </c>
      <c r="H80" s="219">
        <f>Tablo142[[#This Row],[Duruş]]/Tablo142[[#This Row],[Net Kapasite Direkt]]*100</f>
        <v>1.6184735684613503</v>
      </c>
      <c r="I80" s="219">
        <f>(Tablo142[[#This Row],[Net Kapasite Direkt]]-Tablo142[[#This Row],[Toplam Girilen İşçilik]])/Tablo142[[#This Row],[Net Kapasite Direkt]]*100</f>
        <v>37.523825038690234</v>
      </c>
      <c r="J80" s="220">
        <f t="shared" si="10"/>
        <v>3.8349159970781597</v>
      </c>
      <c r="K80" s="221">
        <f t="shared" si="11"/>
        <v>6138.5</v>
      </c>
      <c r="L80" s="221">
        <f t="shared" si="12"/>
        <v>444</v>
      </c>
      <c r="M80" s="222">
        <f t="shared" si="13"/>
        <v>28.501708150317228</v>
      </c>
      <c r="N80" s="222">
        <f>Tablo142[[#This Row],[Ödünç İşçilik]]+Tablo142[[#This Row],[Üretilen Değer (Sap Verisi)]]</f>
        <v>3735.75</v>
      </c>
      <c r="O80" s="223">
        <f>SUMIFS(Tablo2[Haziran],Tablo2[BÖLÜM],Tablo142[[#This Row],[Bölüm]])/60</f>
        <v>99.35</v>
      </c>
      <c r="P80" s="224">
        <f>AC80+O80+Tablo142[[#This Row],[Ödünç İşçilik]]</f>
        <v>3835.1</v>
      </c>
      <c r="Q80" s="224">
        <f t="shared" si="14"/>
        <v>2303.4</v>
      </c>
      <c r="R80" s="406">
        <v>26</v>
      </c>
      <c r="S80" s="406">
        <v>2</v>
      </c>
      <c r="T80" s="406">
        <v>6350</v>
      </c>
      <c r="U80" s="406">
        <v>495</v>
      </c>
      <c r="V80" s="407">
        <v>211.5</v>
      </c>
      <c r="W80" s="406">
        <v>51</v>
      </c>
      <c r="X80" s="365"/>
      <c r="Y80" s="406">
        <v>4783.5</v>
      </c>
      <c r="Z80" s="406">
        <v>339</v>
      </c>
      <c r="AA80" s="406">
        <v>1355</v>
      </c>
      <c r="AB80" s="406">
        <v>105</v>
      </c>
      <c r="AC80" s="431">
        <f>Sayfa1!O541</f>
        <v>3735.75</v>
      </c>
    </row>
    <row r="81" spans="2:29" ht="19.95" customHeight="1" x14ac:dyDescent="0.3">
      <c r="B81" s="315" t="s">
        <v>113</v>
      </c>
      <c r="C81" s="25" t="s">
        <v>4</v>
      </c>
      <c r="D81" s="26" t="s">
        <v>108</v>
      </c>
      <c r="E81" s="27" t="s">
        <v>46</v>
      </c>
      <c r="F81" s="488">
        <f>Tablo142[[#This Row],[Verimlilik
%]]+Tablo142[[#This Row],[Net İşçilik Kapasite Kaybı %]]</f>
        <v>85.087824508798235</v>
      </c>
      <c r="G81" s="43">
        <f t="shared" si="16"/>
        <v>85.087824508798235</v>
      </c>
      <c r="H81" s="43">
        <f>Tablo142[[#This Row],[Duruş]]/Tablo142[[#This Row],[Net Kapasite Direkt]]*100</f>
        <v>0</v>
      </c>
      <c r="I81" s="43">
        <f>(Tablo142[[#This Row],[Net Kapasite Direkt]]-Tablo142[[#This Row],[Toplam Girilen İşçilik]])/Tablo142[[#This Row],[Net Kapasite Direkt]]*100</f>
        <v>14.912175491201765</v>
      </c>
      <c r="J81" s="28">
        <f t="shared" si="10"/>
        <v>2.5603567584191911</v>
      </c>
      <c r="K81" s="29">
        <f t="shared" si="11"/>
        <v>6336.5</v>
      </c>
      <c r="L81" s="29">
        <f t="shared" si="12"/>
        <v>0</v>
      </c>
      <c r="M81" s="30">
        <f t="shared" si="13"/>
        <v>32.690294601465531</v>
      </c>
      <c r="N81" s="30">
        <f>Tablo142[[#This Row],[Ödünç İşçilik]]+Tablo142[[#This Row],[Üretilen Değer (Sap Verisi)]]</f>
        <v>5391.59</v>
      </c>
      <c r="O81" s="61">
        <f>SUMIFS(Tablo2[Haziran],Tablo2[BÖLÜM],Tablo142[[#This Row],[Bölüm]])/60</f>
        <v>0</v>
      </c>
      <c r="P81" s="31">
        <f>AC81+O81+Tablo142[[#This Row],[Ödünç İşçilik]]</f>
        <v>5391.59</v>
      </c>
      <c r="Q81" s="31">
        <f t="shared" si="14"/>
        <v>944.90999999999985</v>
      </c>
      <c r="R81" s="408">
        <v>18</v>
      </c>
      <c r="S81" s="408"/>
      <c r="T81" s="408">
        <f>4603+1900</f>
        <v>6503</v>
      </c>
      <c r="U81" s="408"/>
      <c r="V81" s="409">
        <v>166.5</v>
      </c>
      <c r="W81" s="408"/>
      <c r="X81" s="363"/>
      <c r="Y81" s="408">
        <v>3343.5</v>
      </c>
      <c r="Z81" s="408"/>
      <c r="AA81" s="408">
        <v>1093</v>
      </c>
      <c r="AB81" s="408"/>
      <c r="AC81" s="432">
        <f>Sayfa1!O542</f>
        <v>5391.59</v>
      </c>
    </row>
    <row r="82" spans="2:29" ht="19.95" customHeight="1" x14ac:dyDescent="0.3">
      <c r="B82" s="315" t="s">
        <v>113</v>
      </c>
      <c r="C82" s="25" t="s">
        <v>4</v>
      </c>
      <c r="D82" s="26" t="s">
        <v>108</v>
      </c>
      <c r="E82" s="27" t="s">
        <v>13</v>
      </c>
      <c r="F82" s="488">
        <f>Tablo142[[#This Row],[Verimlilik
%]]+Tablo142[[#This Row],[Net İşçilik Kapasite Kaybı %]]</f>
        <v>84.639733223699238</v>
      </c>
      <c r="G82" s="43">
        <f t="shared" si="16"/>
        <v>84.639733223699238</v>
      </c>
      <c r="H82" s="43">
        <f>Tablo142[[#This Row],[Duruş]]/Tablo142[[#This Row],[Net Kapasite Direkt]]*100</f>
        <v>0</v>
      </c>
      <c r="I82" s="43">
        <f>(Tablo142[[#This Row],[Net Kapasite Direkt]]-Tablo142[[#This Row],[Toplam Girilen İşçilik]])/Tablo142[[#This Row],[Net Kapasite Direkt]]*100</f>
        <v>15.36026677630076</v>
      </c>
      <c r="J82" s="28">
        <f t="shared" si="10"/>
        <v>8.4853202846975098</v>
      </c>
      <c r="K82" s="29">
        <f t="shared" si="11"/>
        <v>3648.5</v>
      </c>
      <c r="L82" s="29">
        <f t="shared" si="12"/>
        <v>466</v>
      </c>
      <c r="M82" s="30">
        <f t="shared" si="13"/>
        <v>33.15188528943176</v>
      </c>
      <c r="N82" s="30">
        <f>Tablo142[[#This Row],[Ödünç İşçilik]]+Tablo142[[#This Row],[Üretilen Değer (Sap Verisi)]]</f>
        <v>3088.0806666666667</v>
      </c>
      <c r="O82" s="61">
        <f>SUMIFS(Tablo2[Haziran],Tablo2[BÖLÜM],Tablo142[[#This Row],[Bölüm]])/60</f>
        <v>0</v>
      </c>
      <c r="P82" s="31">
        <f>AC82+O82+Tablo142[[#This Row],[Ödünç İşçilik]]</f>
        <v>3088.0806666666667</v>
      </c>
      <c r="Q82" s="31">
        <f t="shared" si="14"/>
        <v>560.41933333333327</v>
      </c>
      <c r="R82" s="408">
        <v>21</v>
      </c>
      <c r="S82" s="408">
        <v>2</v>
      </c>
      <c r="T82" s="408">
        <f>4847.5-900</f>
        <v>3947.5</v>
      </c>
      <c r="U82" s="408">
        <v>548.5</v>
      </c>
      <c r="V82" s="409">
        <v>299</v>
      </c>
      <c r="W82" s="408">
        <v>82.5</v>
      </c>
      <c r="X82" s="363"/>
      <c r="Y82" s="408">
        <v>3458.5</v>
      </c>
      <c r="Z82" s="408">
        <v>307.5</v>
      </c>
      <c r="AA82" s="408">
        <v>1090</v>
      </c>
      <c r="AB82" s="408">
        <v>158.5</v>
      </c>
      <c r="AC82" s="432">
        <f>Sayfa1!O543</f>
        <v>3088.0806666666667</v>
      </c>
    </row>
    <row r="83" spans="2:29" ht="19.95" customHeight="1" x14ac:dyDescent="0.3">
      <c r="B83" s="315" t="s">
        <v>113</v>
      </c>
      <c r="C83" s="25" t="s">
        <v>4</v>
      </c>
      <c r="D83" s="26" t="s">
        <v>108</v>
      </c>
      <c r="E83" s="27" t="s">
        <v>9</v>
      </c>
      <c r="F83" s="488">
        <f>Tablo142[[#This Row],[Verimlilik
%]]+Tablo142[[#This Row],[Net İşçilik Kapasite Kaybı %]]</f>
        <v>83.737519075648578</v>
      </c>
      <c r="G83" s="43">
        <f t="shared" si="16"/>
        <v>83.737519075648578</v>
      </c>
      <c r="H83" s="43">
        <f>Tablo142[[#This Row],[Duruş]]/Tablo142[[#This Row],[Net Kapasite Direkt]]*100</f>
        <v>0</v>
      </c>
      <c r="I83" s="43">
        <f>(Tablo142[[#This Row],[Net Kapasite Direkt]]-Tablo142[[#This Row],[Toplam Girilen İşçilik]])/Tablo142[[#This Row],[Net Kapasite Direkt]]*100</f>
        <v>16.262480924351419</v>
      </c>
      <c r="J83" s="28">
        <f t="shared" si="10"/>
        <v>6.1963190184049086</v>
      </c>
      <c r="K83" s="29">
        <f t="shared" si="11"/>
        <v>1529</v>
      </c>
      <c r="L83" s="29">
        <f t="shared" si="12"/>
        <v>0</v>
      </c>
      <c r="M83" s="30">
        <f t="shared" si="13"/>
        <v>36.776636019469983</v>
      </c>
      <c r="N83" s="30">
        <f>Tablo142[[#This Row],[Ödünç İşçilik]]+Tablo142[[#This Row],[Üretilen Değer (Sap Verisi)]]</f>
        <v>1280.3466666666668</v>
      </c>
      <c r="O83" s="61">
        <f>SUMIFS(Tablo2[Haziran],Tablo2[BÖLÜM],Tablo142[[#This Row],[Bölüm]])/60</f>
        <v>0</v>
      </c>
      <c r="P83" s="31">
        <f>AC83+O83+Tablo142[[#This Row],[Ödünç İşçilik]]</f>
        <v>1280.3466666666668</v>
      </c>
      <c r="Q83" s="31">
        <f t="shared" si="14"/>
        <v>248.65333333333319</v>
      </c>
      <c r="R83" s="408">
        <v>10</v>
      </c>
      <c r="S83" s="408"/>
      <c r="T83" s="408">
        <f>2630-1000</f>
        <v>1630</v>
      </c>
      <c r="U83" s="408"/>
      <c r="V83" s="409">
        <v>101</v>
      </c>
      <c r="W83" s="408"/>
      <c r="X83" s="363"/>
      <c r="Y83" s="408">
        <v>1849</v>
      </c>
      <c r="Z83" s="408"/>
      <c r="AA83" s="408">
        <v>680</v>
      </c>
      <c r="AB83" s="408"/>
      <c r="AC83" s="432">
        <f>Sayfa1!O544</f>
        <v>1280.3466666666668</v>
      </c>
    </row>
    <row r="84" spans="2:29" ht="19.95" customHeight="1" x14ac:dyDescent="0.3">
      <c r="B84" s="315" t="s">
        <v>113</v>
      </c>
      <c r="C84" s="25" t="s">
        <v>1011</v>
      </c>
      <c r="D84" s="26" t="s">
        <v>108</v>
      </c>
      <c r="E84" s="27" t="s">
        <v>1015</v>
      </c>
      <c r="F84" s="488">
        <f>Tablo142[[#This Row],[Verimlilik
%]]+Tablo142[[#This Row],[Net İşçilik Kapasite Kaybı %]]</f>
        <v>31.226238286479248</v>
      </c>
      <c r="G84" s="43">
        <f t="shared" si="16"/>
        <v>31.226238286479248</v>
      </c>
      <c r="H84" s="43">
        <f>Tablo142[[#This Row],[Duruş]]/Tablo142[[#This Row],[Net Kapasite Direkt]]*100</f>
        <v>0</v>
      </c>
      <c r="I84" s="43">
        <f>(Tablo142[[#This Row],[Net Kapasite Direkt]]-Tablo142[[#This Row],[Toplam Girilen İşçilik]])/Tablo142[[#This Row],[Net Kapasite Direkt]]*100</f>
        <v>68.773761713520756</v>
      </c>
      <c r="J84" s="28">
        <f t="shared" si="10"/>
        <v>23.262839879154079</v>
      </c>
      <c r="K84" s="29">
        <f t="shared" si="11"/>
        <v>871.5</v>
      </c>
      <c r="L84" s="29">
        <f t="shared" si="12"/>
        <v>17.5</v>
      </c>
      <c r="M84" s="30">
        <f t="shared" si="13"/>
        <v>26.0099220411056</v>
      </c>
      <c r="N84" s="30">
        <f>Tablo142[[#This Row],[Ödünç İşçilik]]+Tablo142[[#This Row],[Üretilen Değer (Sap Verisi)]]</f>
        <v>272.13666666666666</v>
      </c>
      <c r="O84" s="61">
        <f>SUMIFS(Tablo2[Haziran],Tablo2[BÖLÜM],Tablo142[[#This Row],[Bölüm]])/60</f>
        <v>0</v>
      </c>
      <c r="P84" s="31">
        <f>AC84+O84+Tablo142[[#This Row],[Ödünç İşçilik]]</f>
        <v>272.13666666666666</v>
      </c>
      <c r="Q84" s="31">
        <f t="shared" si="14"/>
        <v>599.36333333333334</v>
      </c>
      <c r="R84" s="408">
        <v>4</v>
      </c>
      <c r="S84" s="408">
        <v>1</v>
      </c>
      <c r="T84" s="408">
        <v>963.5</v>
      </c>
      <c r="U84" s="408">
        <v>195</v>
      </c>
      <c r="V84" s="409">
        <v>92</v>
      </c>
      <c r="W84" s="408">
        <v>177.5</v>
      </c>
      <c r="X84" s="363"/>
      <c r="Y84" s="408">
        <v>688</v>
      </c>
      <c r="Z84" s="408">
        <v>17.5</v>
      </c>
      <c r="AA84" s="408">
        <v>183.5</v>
      </c>
      <c r="AB84" s="408">
        <v>0</v>
      </c>
      <c r="AC84" s="433">
        <f>Sayfa1!O556</f>
        <v>272.13666666666666</v>
      </c>
    </row>
    <row r="85" spans="2:29" ht="19.95" customHeight="1" x14ac:dyDescent="0.3">
      <c r="B85" s="315" t="s">
        <v>113</v>
      </c>
      <c r="C85" s="25" t="s">
        <v>1011</v>
      </c>
      <c r="D85" s="26" t="s">
        <v>108</v>
      </c>
      <c r="E85" s="27" t="s">
        <v>1016</v>
      </c>
      <c r="F85" s="490">
        <f>Tablo142[[#This Row],[Verimlilik
%]]+Tablo142[[#This Row],[Net İşçilik Kapasite Kaybı %]]</f>
        <v>14.278876826162712</v>
      </c>
      <c r="G85" s="89">
        <f>(AC85+X85)/K85*100</f>
        <v>14.278876826162712</v>
      </c>
      <c r="H85" s="43">
        <f>Tablo142[[#This Row],[Duruş]]/Tablo142[[#This Row],[Net Kapasite Direkt]]*100</f>
        <v>0</v>
      </c>
      <c r="I85" s="43">
        <f>(Tablo142[[#This Row],[Net Kapasite Direkt]]-Tablo142[[#This Row],[Toplam Girilen İşçilik]])/Tablo142[[#This Row],[Net Kapasite Direkt]]*100</f>
        <v>85.721123173837285</v>
      </c>
      <c r="J85" s="28">
        <f t="shared" ref="J85:J87" si="17">(V85+W85)/(T85+U85)*100</f>
        <v>2.6614481409001955</v>
      </c>
      <c r="K85" s="29">
        <f t="shared" ref="K85:K87" si="18">T85-V85</f>
        <v>1243.5</v>
      </c>
      <c r="L85" s="29">
        <f t="shared" ref="L85:L87" si="19">U85-W85</f>
        <v>0</v>
      </c>
      <c r="M85" s="30">
        <f t="shared" ref="M85:M87" si="20">(AA85+AB85)/(Y85+Z85)*100</f>
        <v>32.146652497343254</v>
      </c>
      <c r="N85" s="30">
        <f>Tablo142[[#This Row],[Ödünç İşçilik]]+Tablo142[[#This Row],[Üretilen Değer (Sap Verisi)]]</f>
        <v>177.55783333333332</v>
      </c>
      <c r="O85" s="61">
        <f>SUMIFS(Tablo2[Haziran],Tablo2[BÖLÜM],Tablo142[[#This Row],[Bölüm]])/60</f>
        <v>0</v>
      </c>
      <c r="P85" s="31">
        <f>AC85+O85+Tablo142[[#This Row],[Ödünç İşçilik]]</f>
        <v>177.55783333333332</v>
      </c>
      <c r="Q85" s="31">
        <f t="shared" ref="Q85:Q87" si="21">K85-P85</f>
        <v>1065.9421666666667</v>
      </c>
      <c r="R85" s="410">
        <v>5</v>
      </c>
      <c r="S85" s="410"/>
      <c r="T85" s="410">
        <v>1277.5</v>
      </c>
      <c r="U85" s="410"/>
      <c r="V85" s="411">
        <v>34</v>
      </c>
      <c r="W85" s="410"/>
      <c r="X85" s="404"/>
      <c r="Y85" s="410">
        <v>941</v>
      </c>
      <c r="Z85" s="410"/>
      <c r="AA85" s="410">
        <v>302.5</v>
      </c>
      <c r="AB85" s="410"/>
      <c r="AC85" s="434">
        <f>10653.47/60</f>
        <v>177.55783333333332</v>
      </c>
    </row>
    <row r="86" spans="2:29" ht="19.95" customHeight="1" x14ac:dyDescent="0.3">
      <c r="B86" s="315" t="s">
        <v>113</v>
      </c>
      <c r="C86" s="25" t="s">
        <v>1011</v>
      </c>
      <c r="D86" s="26" t="s">
        <v>108</v>
      </c>
      <c r="E86" s="27" t="s">
        <v>1017</v>
      </c>
      <c r="F86" s="490">
        <f>Tablo142[[#This Row],[Verimlilik
%]]+Tablo142[[#This Row],[Net İşçilik Kapasite Kaybı %]]</f>
        <v>37.506326034063257</v>
      </c>
      <c r="G86" s="89">
        <f>(AC86+X86)/K86*100</f>
        <v>37.506326034063257</v>
      </c>
      <c r="H86" s="43">
        <f>Tablo142[[#This Row],[Duruş]]/Tablo142[[#This Row],[Net Kapasite Direkt]]*100</f>
        <v>0</v>
      </c>
      <c r="I86" s="43">
        <f>(Tablo142[[#This Row],[Net Kapasite Direkt]]-Tablo142[[#This Row],[Toplam Girilen İşçilik]])/Tablo142[[#This Row],[Net Kapasite Direkt]]*100</f>
        <v>62.49367396593675</v>
      </c>
      <c r="J86" s="28">
        <f t="shared" si="17"/>
        <v>2.1877486077963404</v>
      </c>
      <c r="K86" s="29">
        <f t="shared" si="18"/>
        <v>959</v>
      </c>
      <c r="L86" s="29">
        <f t="shared" si="19"/>
        <v>270.5</v>
      </c>
      <c r="M86" s="30">
        <f t="shared" si="20"/>
        <v>29.762532981530342</v>
      </c>
      <c r="N86" s="30">
        <f>Tablo142[[#This Row],[Ödünç İşçilik]]+Tablo142[[#This Row],[Üretilen Değer (Sap Verisi)]]</f>
        <v>359.68566666666663</v>
      </c>
      <c r="O86" s="61">
        <f>SUMIFS(Tablo2[Haziran],Tablo2[BÖLÜM],Tablo142[[#This Row],[Bölüm]])/60</f>
        <v>0</v>
      </c>
      <c r="P86" s="31">
        <f>AC86+O86+Tablo142[[#This Row],[Ödünç İşçilik]]</f>
        <v>359.68566666666663</v>
      </c>
      <c r="Q86" s="31">
        <f t="shared" si="21"/>
        <v>599.31433333333337</v>
      </c>
      <c r="R86" s="410">
        <v>4</v>
      </c>
      <c r="S86" s="410">
        <v>1</v>
      </c>
      <c r="T86" s="410">
        <v>980</v>
      </c>
      <c r="U86" s="410">
        <v>277</v>
      </c>
      <c r="V86" s="411">
        <v>21</v>
      </c>
      <c r="W86" s="410">
        <v>6.5</v>
      </c>
      <c r="X86" s="404"/>
      <c r="Y86" s="410">
        <v>759</v>
      </c>
      <c r="Z86" s="410">
        <v>188.5</v>
      </c>
      <c r="AA86" s="410">
        <v>200</v>
      </c>
      <c r="AB86" s="410">
        <v>82</v>
      </c>
      <c r="AC86" s="434">
        <f>21581.14/60</f>
        <v>359.68566666666663</v>
      </c>
    </row>
    <row r="87" spans="2:29" ht="19.95" customHeight="1" x14ac:dyDescent="0.3">
      <c r="B87" s="315" t="s">
        <v>113</v>
      </c>
      <c r="C87" s="25" t="s">
        <v>1011</v>
      </c>
      <c r="D87" s="26" t="s">
        <v>108</v>
      </c>
      <c r="E87" s="27" t="s">
        <v>1014</v>
      </c>
      <c r="F87" s="490">
        <f>Tablo142[[#This Row],[Verimlilik
%]]+Tablo142[[#This Row],[Net İşçilik Kapasite Kaybı %]]</f>
        <v>46.666585079802147</v>
      </c>
      <c r="G87" s="89">
        <f>(AC87+X87)/K87*100</f>
        <v>46.666585079802147</v>
      </c>
      <c r="H87" s="43">
        <f>Tablo142[[#This Row],[Duruş]]/Tablo142[[#This Row],[Net Kapasite Direkt]]*100</f>
        <v>0</v>
      </c>
      <c r="I87" s="43">
        <f>(Tablo142[[#This Row],[Net Kapasite Direkt]]-Tablo142[[#This Row],[Toplam Girilen İşçilik]])/Tablo142[[#This Row],[Net Kapasite Direkt]]*100</f>
        <v>53.333414920197853</v>
      </c>
      <c r="J87" s="28">
        <f t="shared" si="17"/>
        <v>6.8990428029618922</v>
      </c>
      <c r="K87" s="29">
        <f t="shared" si="18"/>
        <v>6537</v>
      </c>
      <c r="L87" s="29">
        <f t="shared" si="19"/>
        <v>1195.5</v>
      </c>
      <c r="M87" s="30">
        <f t="shared" si="20"/>
        <v>34.665621734587255</v>
      </c>
      <c r="N87" s="30">
        <f>Tablo142[[#This Row],[Ödünç İşçilik]]+Tablo142[[#This Row],[Üretilen Değer (Sap Verisi)]]</f>
        <v>3050.5946666666664</v>
      </c>
      <c r="O87" s="61">
        <f>SUMIFS(Tablo2[Haziran],Tablo2[BÖLÜM],Tablo142[[#This Row],[Bölüm]])/60</f>
        <v>0</v>
      </c>
      <c r="P87" s="31">
        <f>AC87+O87+Tablo142[[#This Row],[Ödünç İşçilik]]</f>
        <v>3050.5946666666664</v>
      </c>
      <c r="Q87" s="31">
        <f t="shared" si="21"/>
        <v>3486.4053333333336</v>
      </c>
      <c r="R87" s="410">
        <v>28</v>
      </c>
      <c r="S87" s="410">
        <v>5</v>
      </c>
      <c r="T87" s="410">
        <v>7029</v>
      </c>
      <c r="U87" s="410">
        <v>1276.5</v>
      </c>
      <c r="V87" s="411">
        <v>492</v>
      </c>
      <c r="W87" s="410">
        <v>81</v>
      </c>
      <c r="X87" s="404"/>
      <c r="Y87" s="410">
        <v>4885.5</v>
      </c>
      <c r="Z87" s="410">
        <v>856.5</v>
      </c>
      <c r="AA87" s="410">
        <v>1651.5</v>
      </c>
      <c r="AB87" s="410">
        <v>339</v>
      </c>
      <c r="AC87" s="434">
        <f>Sayfa1!O562</f>
        <v>3050.5946666666664</v>
      </c>
    </row>
    <row r="88" spans="2:29" ht="19.95" customHeight="1" x14ac:dyDescent="0.3">
      <c r="B88" s="315" t="s">
        <v>113</v>
      </c>
      <c r="C88" s="25" t="s">
        <v>1011</v>
      </c>
      <c r="D88" s="26" t="s">
        <v>108</v>
      </c>
      <c r="E88" s="27" t="s">
        <v>26</v>
      </c>
      <c r="F88" s="488">
        <f>Tablo142[[#This Row],[Verimlilik
%]]+Tablo142[[#This Row],[Net İşçilik Kapasite Kaybı %]]</f>
        <v>83.712763834522988</v>
      </c>
      <c r="G88" s="43">
        <f t="shared" si="16"/>
        <v>70.450042213523673</v>
      </c>
      <c r="H88" s="43">
        <f>Tablo142[[#This Row],[Duruş]]/Tablo142[[#This Row],[Net Kapasite Direkt]]*100</f>
        <v>13.26272162099931</v>
      </c>
      <c r="I88" s="43">
        <f>(Tablo142[[#This Row],[Net Kapasite Direkt]]-Tablo142[[#This Row],[Toplam Girilen İşçilik]])/Tablo142[[#This Row],[Net Kapasite Direkt]]*100</f>
        <v>16.287236165477012</v>
      </c>
      <c r="J88" s="28">
        <f t="shared" si="10"/>
        <v>5.6279878313776619</v>
      </c>
      <c r="K88" s="29">
        <f t="shared" si="11"/>
        <v>2171.5</v>
      </c>
      <c r="L88" s="29">
        <f t="shared" si="12"/>
        <v>0</v>
      </c>
      <c r="M88" s="30">
        <f t="shared" si="13"/>
        <v>33.589664718548143</v>
      </c>
      <c r="N88" s="30">
        <f>Tablo142[[#This Row],[Ödünç İşçilik]]+Tablo142[[#This Row],[Üretilen Değer (Sap Verisi)]]</f>
        <v>1529.8226666666667</v>
      </c>
      <c r="O88" s="61">
        <f>SUMIFS(Tablo2[Haziran],Tablo2[BÖLÜM],Tablo142[[#This Row],[Bölüm]])/60</f>
        <v>288</v>
      </c>
      <c r="P88" s="31">
        <f>AC88+O88+Tablo142[[#This Row],[Ödünç İşçilik]]</f>
        <v>1817.8226666666667</v>
      </c>
      <c r="Q88" s="31">
        <f t="shared" si="14"/>
        <v>353.67733333333331</v>
      </c>
      <c r="R88" s="408">
        <v>9</v>
      </c>
      <c r="S88" s="408"/>
      <c r="T88" s="408">
        <v>2301</v>
      </c>
      <c r="U88" s="408"/>
      <c r="V88" s="409">
        <v>129.5</v>
      </c>
      <c r="W88" s="408"/>
      <c r="X88" s="363"/>
      <c r="Y88" s="408">
        <v>1625.5</v>
      </c>
      <c r="Z88" s="408"/>
      <c r="AA88" s="408">
        <v>546</v>
      </c>
      <c r="AB88" s="408"/>
      <c r="AC88" s="433">
        <f>Sayfa1!O563</f>
        <v>1529.8226666666667</v>
      </c>
    </row>
    <row r="89" spans="2:29" ht="19.95" customHeight="1" x14ac:dyDescent="0.3">
      <c r="B89" s="315" t="s">
        <v>113</v>
      </c>
      <c r="C89" s="25" t="s">
        <v>4</v>
      </c>
      <c r="D89" s="26" t="s">
        <v>108</v>
      </c>
      <c r="E89" s="27" t="s">
        <v>17</v>
      </c>
      <c r="F89" s="488">
        <f>Tablo142[[#This Row],[Verimlilik
%]]+Tablo142[[#This Row],[Net İşçilik Kapasite Kaybı %]]</f>
        <v>55.096796256299484</v>
      </c>
      <c r="G89" s="43">
        <f t="shared" si="16"/>
        <v>52.900971922246207</v>
      </c>
      <c r="H89" s="43">
        <f>Tablo142[[#This Row],[Duruş]]/Tablo142[[#This Row],[Net Kapasite Direkt]]*100</f>
        <v>2.1958243340532757</v>
      </c>
      <c r="I89" s="43">
        <f>(Tablo142[[#This Row],[Net Kapasite Direkt]]-Tablo142[[#This Row],[Toplam Girilen İşçilik]])/Tablo142[[#This Row],[Net Kapasite Direkt]]*100</f>
        <v>44.903203743700516</v>
      </c>
      <c r="J89" s="28">
        <f t="shared" si="10"/>
        <v>4.0477835916674891</v>
      </c>
      <c r="K89" s="29">
        <f>T89-V89</f>
        <v>3704</v>
      </c>
      <c r="L89" s="29">
        <f t="shared" si="12"/>
        <v>1155.5</v>
      </c>
      <c r="M89" s="30">
        <f t="shared" si="13"/>
        <v>32.863978127136022</v>
      </c>
      <c r="N89" s="30">
        <f>Tablo142[[#This Row],[Ödünç İşçilik]]+Tablo142[[#This Row],[Üretilen Değer (Sap Verisi)]]</f>
        <v>1959.4519999999998</v>
      </c>
      <c r="O89" s="61">
        <f>SUMIFS(Tablo2[Haziran],Tablo2[BÖLÜM],Tablo142[[#This Row],[Bölüm]])/60</f>
        <v>81.333333333333329</v>
      </c>
      <c r="P89" s="31">
        <f>AC89+O89+Tablo142[[#This Row],[Ödünç İşçilik]]</f>
        <v>2040.785333333333</v>
      </c>
      <c r="Q89" s="31">
        <f t="shared" si="14"/>
        <v>1663.214666666667</v>
      </c>
      <c r="R89" s="408">
        <v>15</v>
      </c>
      <c r="S89" s="408">
        <v>5</v>
      </c>
      <c r="T89" s="408">
        <v>3872</v>
      </c>
      <c r="U89" s="408">
        <v>1192.5</v>
      </c>
      <c r="V89" s="409">
        <v>168</v>
      </c>
      <c r="W89" s="408">
        <v>37</v>
      </c>
      <c r="X89" s="363"/>
      <c r="Y89" s="408">
        <v>2719.5</v>
      </c>
      <c r="Z89" s="408">
        <v>938</v>
      </c>
      <c r="AA89" s="408">
        <v>984.5</v>
      </c>
      <c r="AB89" s="408">
        <v>217.5</v>
      </c>
      <c r="AC89" s="434">
        <f>Sayfa1!O564</f>
        <v>1959.4519999999998</v>
      </c>
    </row>
    <row r="90" spans="2:29" ht="19.95" customHeight="1" x14ac:dyDescent="0.3">
      <c r="B90" s="315" t="s">
        <v>113</v>
      </c>
      <c r="C90" s="25" t="s">
        <v>4</v>
      </c>
      <c r="D90" s="26" t="s">
        <v>108</v>
      </c>
      <c r="E90" s="27" t="s">
        <v>29</v>
      </c>
      <c r="F90" s="488">
        <f>Tablo142[[#This Row],[Verimlilik
%]]+Tablo142[[#This Row],[Net İşçilik Kapasite Kaybı %]]</f>
        <v>71.335553060919011</v>
      </c>
      <c r="G90" s="43">
        <f t="shared" si="16"/>
        <v>67.481339619817376</v>
      </c>
      <c r="H90" s="43">
        <f>Tablo142[[#This Row],[Duruş]]/Tablo142[[#This Row],[Net Kapasite Direkt]]*100</f>
        <v>3.8542134411016309</v>
      </c>
      <c r="I90" s="43">
        <f>(Tablo142[[#This Row],[Net Kapasite Direkt]]-Tablo142[[#This Row],[Toplam Girilen İşçilik]])/Tablo142[[#This Row],[Net Kapasite Direkt]]*100</f>
        <v>28.664446939080989</v>
      </c>
      <c r="J90" s="28">
        <f t="shared" si="10"/>
        <v>7.5974675108297234</v>
      </c>
      <c r="K90" s="29">
        <f t="shared" si="11"/>
        <v>2227</v>
      </c>
      <c r="L90" s="29">
        <f t="shared" si="12"/>
        <v>546</v>
      </c>
      <c r="M90" s="30">
        <f t="shared" si="13"/>
        <v>44.653103808033386</v>
      </c>
      <c r="N90" s="30">
        <f>Tablo142[[#This Row],[Ödünç İşçilik]]+Tablo142[[#This Row],[Üretilen Değer (Sap Verisi)]]</f>
        <v>1502.8094333333331</v>
      </c>
      <c r="O90" s="61">
        <f>SUMIFS(Tablo2[Haziran],Tablo2[BÖLÜM],Tablo142[[#This Row],[Bölüm]])/60</f>
        <v>85.833333333333329</v>
      </c>
      <c r="P90" s="31">
        <f>AC90+O90+Tablo142[[#This Row],[Ödünç İşçilik]]</f>
        <v>1588.6427666666664</v>
      </c>
      <c r="Q90" s="31">
        <f t="shared" si="14"/>
        <v>638.35723333333362</v>
      </c>
      <c r="R90" s="408">
        <v>9</v>
      </c>
      <c r="S90" s="408">
        <v>2</v>
      </c>
      <c r="T90" s="408">
        <v>2430</v>
      </c>
      <c r="U90" s="408">
        <v>571</v>
      </c>
      <c r="V90" s="409">
        <v>203</v>
      </c>
      <c r="W90" s="408">
        <v>25</v>
      </c>
      <c r="X90" s="363">
        <f>120/60</f>
        <v>2</v>
      </c>
      <c r="Y90" s="408">
        <v>1552</v>
      </c>
      <c r="Z90" s="408">
        <v>365</v>
      </c>
      <c r="AA90" s="408">
        <v>675</v>
      </c>
      <c r="AB90" s="408">
        <v>181</v>
      </c>
      <c r="AC90" s="434">
        <f>Sayfa1!O565</f>
        <v>1500.8094333333331</v>
      </c>
    </row>
    <row r="91" spans="2:29" ht="19.95" customHeight="1" x14ac:dyDescent="0.3">
      <c r="B91" s="315" t="s">
        <v>113</v>
      </c>
      <c r="C91" s="25" t="s">
        <v>4</v>
      </c>
      <c r="D91" s="26" t="s">
        <v>108</v>
      </c>
      <c r="E91" s="27" t="s">
        <v>43</v>
      </c>
      <c r="F91" s="488">
        <f>Tablo142[[#This Row],[Verimlilik
%]]+Tablo142[[#This Row],[Net İşçilik Kapasite Kaybı %]]</f>
        <v>76.030933791380406</v>
      </c>
      <c r="G91" s="43">
        <f t="shared" si="16"/>
        <v>76.030933791380406</v>
      </c>
      <c r="H91" s="43">
        <f>Tablo142[[#This Row],[Duruş]]/Tablo142[[#This Row],[Net Kapasite Direkt]]*100</f>
        <v>0</v>
      </c>
      <c r="I91" s="43">
        <f>(Tablo142[[#This Row],[Net Kapasite Direkt]]-Tablo142[[#This Row],[Toplam Girilen İşçilik]])/Tablo142[[#This Row],[Net Kapasite Direkt]]*100</f>
        <v>23.969066208619587</v>
      </c>
      <c r="J91" s="28">
        <f t="shared" si="10"/>
        <v>7.0972711267605639</v>
      </c>
      <c r="K91" s="29">
        <f t="shared" si="11"/>
        <v>3202</v>
      </c>
      <c r="L91" s="29">
        <f t="shared" si="12"/>
        <v>1019.5</v>
      </c>
      <c r="M91" s="30">
        <f t="shared" si="13"/>
        <v>32.439215686274508</v>
      </c>
      <c r="N91" s="30">
        <f>Tablo142[[#This Row],[Ödünç İşçilik]]+Tablo142[[#This Row],[Üretilen Değer (Sap Verisi)]]</f>
        <v>2434.5105000000008</v>
      </c>
      <c r="O91" s="61">
        <f>SUMIFS(Tablo2[Haziran],Tablo2[BÖLÜM],Tablo142[[#This Row],[Bölüm]])/60</f>
        <v>0</v>
      </c>
      <c r="P91" s="31">
        <f>AC91+O91+Tablo142[[#This Row],[Ödünç İşçilik]]</f>
        <v>2434.5105000000008</v>
      </c>
      <c r="Q91" s="31">
        <f>K91-P91</f>
        <v>767.48949999999923</v>
      </c>
      <c r="R91" s="408">
        <v>14</v>
      </c>
      <c r="S91" s="408">
        <v>4</v>
      </c>
      <c r="T91" s="408">
        <v>3491</v>
      </c>
      <c r="U91" s="408">
        <v>1053</v>
      </c>
      <c r="V91" s="409">
        <v>289</v>
      </c>
      <c r="W91" s="408">
        <v>33.5</v>
      </c>
      <c r="X91" s="363"/>
      <c r="Y91" s="408">
        <v>2441</v>
      </c>
      <c r="Z91" s="408">
        <v>746.5</v>
      </c>
      <c r="AA91" s="408">
        <v>761</v>
      </c>
      <c r="AB91" s="408">
        <v>273</v>
      </c>
      <c r="AC91" s="434">
        <f>Sayfa1!O568</f>
        <v>2434.5105000000008</v>
      </c>
    </row>
    <row r="92" spans="2:29" ht="19.95" customHeight="1" x14ac:dyDescent="0.3">
      <c r="B92" s="315" t="s">
        <v>113</v>
      </c>
      <c r="C92" s="25" t="s">
        <v>1011</v>
      </c>
      <c r="D92" s="26" t="s">
        <v>108</v>
      </c>
      <c r="E92" s="27" t="s">
        <v>19</v>
      </c>
      <c r="F92" s="488">
        <f>Tablo142[[#This Row],[Verimlilik
%]]+Tablo142[[#This Row],[Net İşçilik Kapasite Kaybı %]]</f>
        <v>101.01933621933622</v>
      </c>
      <c r="G92" s="89">
        <f>(AC92+X92)/K92*100</f>
        <v>83.860606060606074</v>
      </c>
      <c r="H92" s="43">
        <f>Tablo142[[#This Row],[Duruş]]/Tablo142[[#This Row],[Net Kapasite Direkt]]*100</f>
        <v>17.158730158730158</v>
      </c>
      <c r="I92" s="43">
        <f>(Tablo142[[#This Row],[Net Kapasite Direkt]]-Tablo142[[#This Row],[Toplam Girilen İşçilik]])/Tablo142[[#This Row],[Net Kapasite Direkt]]*100</f>
        <v>-1.0193362193362174</v>
      </c>
      <c r="J92" s="28">
        <f t="shared" si="10"/>
        <v>11.344430217669654</v>
      </c>
      <c r="K92" s="29">
        <f t="shared" si="11"/>
        <v>2310</v>
      </c>
      <c r="L92" s="29">
        <f t="shared" si="12"/>
        <v>1152</v>
      </c>
      <c r="M92" s="30">
        <f t="shared" si="13"/>
        <v>20.543175487465181</v>
      </c>
      <c r="N92" s="30">
        <f>Tablo142[[#This Row],[Ödünç İşçilik]]+Tablo142[[#This Row],[Üretilen Değer (Sap Verisi)]]</f>
        <v>1937.18</v>
      </c>
      <c r="O92" s="61">
        <f>SUMIFS(Tablo2[Haziran],Tablo2[BÖLÜM],Tablo142[[#This Row],[Bölüm]])/60</f>
        <v>396.36666666666667</v>
      </c>
      <c r="P92" s="31">
        <f>AC92+O92+Tablo142[[#This Row],[Ödünç İşçilik]]</f>
        <v>2333.5466666666666</v>
      </c>
      <c r="Q92" s="31">
        <f>K92-P92</f>
        <v>-23.546666666666624</v>
      </c>
      <c r="R92" s="408">
        <v>12</v>
      </c>
      <c r="S92" s="408">
        <v>5</v>
      </c>
      <c r="T92" s="408">
        <v>2693</v>
      </c>
      <c r="U92" s="408">
        <v>1212</v>
      </c>
      <c r="V92" s="409">
        <v>383</v>
      </c>
      <c r="W92" s="408">
        <v>60</v>
      </c>
      <c r="X92" s="404"/>
      <c r="Y92" s="408">
        <v>1957</v>
      </c>
      <c r="Z92" s="408">
        <v>915</v>
      </c>
      <c r="AA92" s="408">
        <v>353</v>
      </c>
      <c r="AB92" s="408">
        <v>237</v>
      </c>
      <c r="AC92" s="434">
        <v>1937.18</v>
      </c>
    </row>
    <row r="93" spans="2:29" ht="19.95" customHeight="1" x14ac:dyDescent="0.3">
      <c r="B93" s="315" t="s">
        <v>113</v>
      </c>
      <c r="C93" s="25" t="s">
        <v>4</v>
      </c>
      <c r="D93" s="26" t="s">
        <v>25</v>
      </c>
      <c r="E93" s="27" t="s">
        <v>40</v>
      </c>
      <c r="F93" s="488">
        <f>Tablo142[[#This Row],[Verimlilik
%]]+Tablo142[[#This Row],[Net İşçilik Kapasite Kaybı %]]</f>
        <v>77.151471775673485</v>
      </c>
      <c r="G93" s="43">
        <f t="shared" si="16"/>
        <v>60.760074873375899</v>
      </c>
      <c r="H93" s="43">
        <f>Tablo142[[#This Row],[Duruş]]/Tablo142[[#This Row],[Net Kapasite Direkt]]*100</f>
        <v>16.391396902297586</v>
      </c>
      <c r="I93" s="43">
        <f>(Tablo142[[#This Row],[Net Kapasite Direkt]]-Tablo142[[#This Row],[Toplam Girilen İşçilik]])/Tablo142[[#This Row],[Net Kapasite Direkt]]*100</f>
        <v>22.848528224326508</v>
      </c>
      <c r="J93" s="28">
        <f t="shared" si="10"/>
        <v>4.9965421853388658</v>
      </c>
      <c r="K93" s="29">
        <f t="shared" si="11"/>
        <v>2270.5</v>
      </c>
      <c r="L93" s="29">
        <f t="shared" si="12"/>
        <v>477</v>
      </c>
      <c r="M93" s="30">
        <f t="shared" si="13"/>
        <v>25.142336597585974</v>
      </c>
      <c r="N93" s="30">
        <f>Tablo142[[#This Row],[Ödünç İşçilik]]+Tablo142[[#This Row],[Üretilen Değer (Sap Verisi)]]</f>
        <v>1379.5574999999999</v>
      </c>
      <c r="O93" s="61">
        <f>SUMIFS(Tablo2[Haziran],Tablo2[BÖLÜM],Tablo142[[#This Row],[Bölüm]])/60</f>
        <v>372.16666666666669</v>
      </c>
      <c r="P93" s="31">
        <f>AC93+O93+Tablo142[[#This Row],[Ödünç İşçilik]]</f>
        <v>1751.7241666666666</v>
      </c>
      <c r="Q93" s="31">
        <f>K93-P93</f>
        <v>518.77583333333337</v>
      </c>
      <c r="R93" s="408">
        <v>10</v>
      </c>
      <c r="S93" s="408">
        <v>2</v>
      </c>
      <c r="T93" s="408">
        <v>2398</v>
      </c>
      <c r="U93" s="408">
        <v>494</v>
      </c>
      <c r="V93" s="409">
        <v>127.5</v>
      </c>
      <c r="W93" s="408">
        <v>17</v>
      </c>
      <c r="X93" s="363">
        <f>21840/60</f>
        <v>364</v>
      </c>
      <c r="Y93" s="408">
        <v>1822.5</v>
      </c>
      <c r="Z93" s="408">
        <v>373</v>
      </c>
      <c r="AA93" s="408">
        <v>448</v>
      </c>
      <c r="AB93" s="408">
        <v>104</v>
      </c>
      <c r="AC93" s="434">
        <f>Sayfa1!O572</f>
        <v>1015.5575</v>
      </c>
    </row>
    <row r="94" spans="2:29" ht="19.95" customHeight="1" x14ac:dyDescent="0.3">
      <c r="B94" s="315" t="s">
        <v>113</v>
      </c>
      <c r="C94" s="25" t="s">
        <v>4</v>
      </c>
      <c r="D94" s="26" t="s">
        <v>25</v>
      </c>
      <c r="E94" s="27" t="s">
        <v>35</v>
      </c>
      <c r="F94" s="488">
        <f>Tablo142[[#This Row],[Verimlilik
%]]+Tablo142[[#This Row],[Net İşçilik Kapasite Kaybı %]]</f>
        <v>90.121167764495397</v>
      </c>
      <c r="G94" s="43">
        <f t="shared" si="16"/>
        <v>87.742538830609078</v>
      </c>
      <c r="H94" s="43">
        <f>Tablo142[[#This Row],[Duruş]]/Tablo142[[#This Row],[Net Kapasite Direkt]]*100</f>
        <v>2.3786289338863136</v>
      </c>
      <c r="I94" s="43">
        <f>(Tablo142[[#This Row],[Net Kapasite Direkt]]-Tablo142[[#This Row],[Toplam Girilen İşçilik]])/Tablo142[[#This Row],[Net Kapasite Direkt]]*100</f>
        <v>9.8788322355045963</v>
      </c>
      <c r="J94" s="28">
        <f t="shared" si="10"/>
        <v>9.4900148539362927</v>
      </c>
      <c r="K94" s="29">
        <f t="shared" si="11"/>
        <v>4099</v>
      </c>
      <c r="L94" s="29">
        <f t="shared" si="12"/>
        <v>1385</v>
      </c>
      <c r="M94" s="30">
        <f t="shared" si="13"/>
        <v>27.534883720930232</v>
      </c>
      <c r="N94" s="30">
        <f>Tablo142[[#This Row],[Ödünç İşçilik]]+Tablo142[[#This Row],[Üretilen Değer (Sap Verisi)]]</f>
        <v>3596.5666666666666</v>
      </c>
      <c r="O94" s="61">
        <f>SUMIFS(Tablo2[Haziran],Tablo2[BÖLÜM],Tablo142[[#This Row],[Bölüm]])/60</f>
        <v>97.5</v>
      </c>
      <c r="P94" s="31">
        <f>AC94+O94+Tablo142[[#This Row],[Ödünç İşçilik]]</f>
        <v>3694.0666666666666</v>
      </c>
      <c r="Q94" s="31">
        <f>K94-P94</f>
        <v>404.93333333333339</v>
      </c>
      <c r="R94" s="408">
        <v>19</v>
      </c>
      <c r="S94" s="408">
        <v>6</v>
      </c>
      <c r="T94" s="408">
        <v>4555.5</v>
      </c>
      <c r="U94" s="408">
        <v>1503.5</v>
      </c>
      <c r="V94" s="409">
        <v>456.5</v>
      </c>
      <c r="W94" s="408">
        <v>118.5</v>
      </c>
      <c r="X94" s="363">
        <f>6390/60</f>
        <v>106.5</v>
      </c>
      <c r="Y94" s="408">
        <v>3248.5</v>
      </c>
      <c r="Z94" s="408">
        <v>1051.5</v>
      </c>
      <c r="AA94" s="408">
        <v>850.5</v>
      </c>
      <c r="AB94" s="408">
        <v>333.5</v>
      </c>
      <c r="AC94" s="434">
        <f>Sayfa1!O573</f>
        <v>3490.0666666666666</v>
      </c>
    </row>
    <row r="95" spans="2:29" ht="19.95" customHeight="1" x14ac:dyDescent="0.3">
      <c r="B95" s="315" t="s">
        <v>113</v>
      </c>
      <c r="C95" s="25" t="s">
        <v>4</v>
      </c>
      <c r="D95" s="26" t="s">
        <v>25</v>
      </c>
      <c r="E95" s="27" t="s">
        <v>25</v>
      </c>
      <c r="F95" s="488">
        <f>Tablo142[[#This Row],[Verimlilik
%]]+Tablo142[[#This Row],[Net İşçilik Kapasite Kaybı %]]</f>
        <v>57.907195598668018</v>
      </c>
      <c r="G95" s="43">
        <f t="shared" si="16"/>
        <v>57.907195598668018</v>
      </c>
      <c r="H95" s="43">
        <f>Tablo142[[#This Row],[Duruş]]/Tablo142[[#This Row],[Net Kapasite Direkt]]*100</f>
        <v>0</v>
      </c>
      <c r="I95" s="43">
        <f>(Tablo142[[#This Row],[Net Kapasite Direkt]]-Tablo142[[#This Row],[Toplam Girilen İşçilik]])/Tablo142[[#This Row],[Net Kapasite Direkt]]*100</f>
        <v>42.092804401331982</v>
      </c>
      <c r="J95" s="28">
        <f t="shared" si="10"/>
        <v>12.101210121012102</v>
      </c>
      <c r="K95" s="29">
        <f t="shared" si="11"/>
        <v>13814</v>
      </c>
      <c r="L95" s="29">
        <f t="shared" si="12"/>
        <v>2565.5</v>
      </c>
      <c r="M95" s="30">
        <f t="shared" si="13"/>
        <v>23.084726657899683</v>
      </c>
      <c r="N95" s="30">
        <f>Tablo142[[#This Row],[Ödünç İşçilik]]+Tablo142[[#This Row],[Üretilen Değer (Sap Verisi)]]</f>
        <v>7999.3</v>
      </c>
      <c r="O95" s="61">
        <f>SUMIFS(Tablo2[Haziran],Tablo2[BÖLÜM],Tablo142[[#This Row],[Bölüm]])/60</f>
        <v>0</v>
      </c>
      <c r="P95" s="31">
        <f>AC95+O95+Tablo142[[#This Row],[Ödünç İşçilik]]</f>
        <v>7999.3</v>
      </c>
      <c r="Q95" s="31">
        <f t="shared" si="14"/>
        <v>5814.7</v>
      </c>
      <c r="R95" s="408">
        <v>70</v>
      </c>
      <c r="S95" s="408">
        <v>13</v>
      </c>
      <c r="T95" s="408">
        <v>15562.5</v>
      </c>
      <c r="U95" s="408">
        <v>3072</v>
      </c>
      <c r="V95" s="409">
        <v>1748.5</v>
      </c>
      <c r="W95" s="408">
        <v>506.5</v>
      </c>
      <c r="X95" s="363"/>
      <c r="Y95" s="408">
        <v>11279</v>
      </c>
      <c r="Z95" s="408">
        <v>2028.5</v>
      </c>
      <c r="AA95" s="408">
        <v>2535</v>
      </c>
      <c r="AB95" s="408">
        <v>537</v>
      </c>
      <c r="AC95" s="434">
        <f>Sayfa1!O574</f>
        <v>7999.3</v>
      </c>
    </row>
    <row r="96" spans="2:29" ht="19.95" customHeight="1" x14ac:dyDescent="0.3">
      <c r="B96" s="315" t="s">
        <v>113</v>
      </c>
      <c r="C96" s="25" t="s">
        <v>4</v>
      </c>
      <c r="D96" s="26" t="s">
        <v>25</v>
      </c>
      <c r="E96" s="27" t="s">
        <v>23</v>
      </c>
      <c r="F96" s="488">
        <f>Tablo142[[#This Row],[Verimlilik
%]]+Tablo142[[#This Row],[Net İşçilik Kapasite Kaybı %]]</f>
        <v>65.750468319559261</v>
      </c>
      <c r="G96" s="43">
        <f t="shared" si="16"/>
        <v>65.750468319559261</v>
      </c>
      <c r="H96" s="43">
        <f>Tablo142[[#This Row],[Duruş]]/Tablo142[[#This Row],[Net Kapasite Direkt]]*100</f>
        <v>0</v>
      </c>
      <c r="I96" s="43">
        <f>(Tablo142[[#This Row],[Net Kapasite Direkt]]-Tablo142[[#This Row],[Toplam Girilen İşçilik]])/Tablo142[[#This Row],[Net Kapasite Direkt]]*100</f>
        <v>34.249531680440739</v>
      </c>
      <c r="J96" s="28">
        <f t="shared" si="10"/>
        <v>4.1804910418049106</v>
      </c>
      <c r="K96" s="29">
        <f t="shared" si="11"/>
        <v>1210</v>
      </c>
      <c r="L96" s="29">
        <f t="shared" si="12"/>
        <v>234</v>
      </c>
      <c r="M96" s="30">
        <f t="shared" si="13"/>
        <v>27.844178840194779</v>
      </c>
      <c r="N96" s="30">
        <f>Tablo142[[#This Row],[Ödünç İşçilik]]+Tablo142[[#This Row],[Üretilen Değer (Sap Verisi)]]</f>
        <v>795.58066666666707</v>
      </c>
      <c r="O96" s="61">
        <f>SUMIFS(Tablo2[Haziran],Tablo2[BÖLÜM],Tablo142[[#This Row],[Bölüm]])/60</f>
        <v>0</v>
      </c>
      <c r="P96" s="31">
        <f>AC96+O96+Tablo142[[#This Row],[Ödünç İşçilik]]</f>
        <v>795.58066666666707</v>
      </c>
      <c r="Q96" s="31">
        <f t="shared" si="14"/>
        <v>414.41933333333293</v>
      </c>
      <c r="R96" s="408">
        <v>6</v>
      </c>
      <c r="S96" s="408">
        <v>1</v>
      </c>
      <c r="T96" s="408">
        <v>1264</v>
      </c>
      <c r="U96" s="408">
        <v>243</v>
      </c>
      <c r="V96" s="409">
        <v>54</v>
      </c>
      <c r="W96" s="408">
        <v>9</v>
      </c>
      <c r="X96" s="363"/>
      <c r="Y96" s="408">
        <v>943.5</v>
      </c>
      <c r="Z96" s="408">
        <v>186</v>
      </c>
      <c r="AA96" s="408">
        <v>266.5</v>
      </c>
      <c r="AB96" s="408">
        <v>48</v>
      </c>
      <c r="AC96" s="434">
        <f>Sayfa1!O575</f>
        <v>795.58066666666707</v>
      </c>
    </row>
    <row r="97" spans="2:29" ht="19.95" customHeight="1" thickBot="1" x14ac:dyDescent="0.35">
      <c r="B97" s="315" t="s">
        <v>113</v>
      </c>
      <c r="C97" s="25" t="s">
        <v>4</v>
      </c>
      <c r="D97" s="26" t="s">
        <v>25</v>
      </c>
      <c r="E97" s="27" t="s">
        <v>20</v>
      </c>
      <c r="F97" s="488">
        <f>Tablo142[[#This Row],[Verimlilik
%]]+Tablo142[[#This Row],[Net İşçilik Kapasite Kaybı %]]</f>
        <v>78.962739174219536</v>
      </c>
      <c r="G97" s="43">
        <f t="shared" si="16"/>
        <v>78.962739174219536</v>
      </c>
      <c r="H97" s="43">
        <f>Tablo142[[#This Row],[Duruş]]/Tablo142[[#This Row],[Net Kapasite Direkt]]*100</f>
        <v>0</v>
      </c>
      <c r="I97" s="43">
        <f>(Tablo142[[#This Row],[Net Kapasite Direkt]]-Tablo142[[#This Row],[Toplam Girilen İşçilik]])/Tablo142[[#This Row],[Net Kapasite Direkt]]*100</f>
        <v>21.037260825780461</v>
      </c>
      <c r="J97" s="28">
        <f t="shared" si="10"/>
        <v>9.0550293188994129</v>
      </c>
      <c r="K97" s="29">
        <f t="shared" si="11"/>
        <v>2648</v>
      </c>
      <c r="L97" s="29">
        <f t="shared" si="12"/>
        <v>1384.5</v>
      </c>
      <c r="M97" s="30">
        <f t="shared" si="13"/>
        <v>35.273398188527338</v>
      </c>
      <c r="N97" s="30">
        <f>Tablo142[[#This Row],[Ödünç İşçilik]]+Tablo142[[#This Row],[Üretilen Değer (Sap Verisi)]]</f>
        <v>2090.9333333333334</v>
      </c>
      <c r="O97" s="61">
        <f>SUMIFS(Tablo2[Haziran],Tablo2[BÖLÜM],Tablo142[[#This Row],[Bölüm]])/60</f>
        <v>0</v>
      </c>
      <c r="P97" s="31">
        <f>AC97+O97+Tablo142[[#This Row],[Ödünç İşçilik]]</f>
        <v>2090.9333333333334</v>
      </c>
      <c r="Q97" s="31">
        <f t="shared" si="14"/>
        <v>557.06666666666661</v>
      </c>
      <c r="R97" s="481">
        <v>12</v>
      </c>
      <c r="S97" s="481">
        <v>6</v>
      </c>
      <c r="T97" s="481">
        <v>2903.5</v>
      </c>
      <c r="U97" s="481">
        <v>1530.5</v>
      </c>
      <c r="V97" s="482">
        <v>255.5</v>
      </c>
      <c r="W97" s="481">
        <v>146</v>
      </c>
      <c r="X97" s="386"/>
      <c r="Y97" s="481">
        <v>1957</v>
      </c>
      <c r="Z97" s="481">
        <v>1024</v>
      </c>
      <c r="AA97" s="481">
        <v>691</v>
      </c>
      <c r="AB97" s="481">
        <v>360.5</v>
      </c>
      <c r="AC97" s="442">
        <f>Sayfa1!O576</f>
        <v>2090.9333333333334</v>
      </c>
    </row>
    <row r="98" spans="2:29" ht="19.95" customHeight="1" x14ac:dyDescent="0.3">
      <c r="B98" s="214" t="s">
        <v>114</v>
      </c>
      <c r="C98" s="215" t="s">
        <v>4</v>
      </c>
      <c r="D98" s="216" t="s">
        <v>108</v>
      </c>
      <c r="E98" s="217" t="s">
        <v>5</v>
      </c>
      <c r="F98" s="487">
        <f>Tablo142[[#This Row],[Verimlilik
%]]+Tablo142[[#This Row],[Net İşçilik Kapasite Kaybı %]]</f>
        <v>64.133423995164705</v>
      </c>
      <c r="G98" s="219">
        <f t="shared" si="16"/>
        <v>63.761332728921126</v>
      </c>
      <c r="H98" s="219">
        <f>Tablo142[[#This Row],[Duruş]]/Tablo142[[#This Row],[Net Kapasite Direkt]]*100</f>
        <v>0.37209126624357813</v>
      </c>
      <c r="I98" s="219">
        <f>(Tablo142[[#This Row],[Net Kapasite Direkt]]-Tablo142[[#This Row],[Toplam Girilen İşçilik]])/Tablo142[[#This Row],[Net Kapasite Direkt]]*100</f>
        <v>35.866576004835302</v>
      </c>
      <c r="J98" s="220">
        <f t="shared" si="10"/>
        <v>8.5768863419293204</v>
      </c>
      <c r="K98" s="221">
        <f>T98-V98</f>
        <v>4412</v>
      </c>
      <c r="L98" s="221">
        <f t="shared" si="12"/>
        <v>374</v>
      </c>
      <c r="M98" s="222">
        <f>(AA98+AB98)/(Y98+Z98)*100</f>
        <v>14.744665547830257</v>
      </c>
      <c r="N98" s="222">
        <f>Tablo142[[#This Row],[Ödünç İşçilik]]+Tablo142[[#This Row],[Üretilen Değer (Sap Verisi)]]</f>
        <v>2813.15</v>
      </c>
      <c r="O98" s="223">
        <f>SUMIFS(Tablo2[Temmuz],Tablo2[BÖLÜM],Tablo142[[#This Row],[Bölüm]])/60</f>
        <v>16.416666666666668</v>
      </c>
      <c r="P98" s="224">
        <f>AC98+O98+Tablo142[[#This Row],[Ödünç İşçilik]]</f>
        <v>2829.5666666666666</v>
      </c>
      <c r="Q98" s="224">
        <f t="shared" si="14"/>
        <v>1582.4333333333334</v>
      </c>
      <c r="R98" s="438">
        <v>26</v>
      </c>
      <c r="S98" s="225">
        <v>2</v>
      </c>
      <c r="T98" s="225">
        <v>4840</v>
      </c>
      <c r="U98" s="225">
        <v>395</v>
      </c>
      <c r="V98" s="226">
        <v>428</v>
      </c>
      <c r="W98" s="225">
        <v>21</v>
      </c>
      <c r="X98" s="365"/>
      <c r="Y98" s="225">
        <v>3862</v>
      </c>
      <c r="Z98" s="225">
        <v>309</v>
      </c>
      <c r="AA98" s="225">
        <v>550</v>
      </c>
      <c r="AB98" s="225">
        <v>65</v>
      </c>
      <c r="AC98" s="431">
        <f>Sayfa1!Q651</f>
        <v>2813.15</v>
      </c>
    </row>
    <row r="99" spans="2:29" ht="19.95" customHeight="1" x14ac:dyDescent="0.3">
      <c r="B99" s="229" t="s">
        <v>114</v>
      </c>
      <c r="C99" s="25" t="s">
        <v>4</v>
      </c>
      <c r="D99" s="26" t="s">
        <v>108</v>
      </c>
      <c r="E99" s="27" t="s">
        <v>46</v>
      </c>
      <c r="F99" s="488">
        <f>Tablo142[[#This Row],[Verimlilik
%]]+Tablo142[[#This Row],[Net İşçilik Kapasite Kaybı %]]</f>
        <v>93.225622097868794</v>
      </c>
      <c r="G99" s="43">
        <f t="shared" si="16"/>
        <v>85.137357621939117</v>
      </c>
      <c r="H99" s="43">
        <f>Tablo142[[#This Row],[Duruş]]/Tablo142[[#This Row],[Net Kapasite Direkt]]*100</f>
        <v>8.0882644759296731</v>
      </c>
      <c r="I99" s="43">
        <f>(Tablo142[[#This Row],[Net Kapasite Direkt]]-Tablo142[[#This Row],[Toplam Girilen İşçilik]])/Tablo142[[#This Row],[Net Kapasite Direkt]]*100</f>
        <v>6.7743779021312118</v>
      </c>
      <c r="J99" s="28">
        <f t="shared" si="10"/>
        <v>5.5867805755395681</v>
      </c>
      <c r="K99" s="29">
        <f t="shared" si="11"/>
        <v>4199.5</v>
      </c>
      <c r="L99" s="29">
        <f t="shared" si="12"/>
        <v>0</v>
      </c>
      <c r="M99" s="30">
        <f t="shared" si="13"/>
        <v>22.395453883141485</v>
      </c>
      <c r="N99" s="30">
        <f>Tablo142[[#This Row],[Ödünç İşçilik]]+Tablo142[[#This Row],[Üretilen Değer (Sap Verisi)]]</f>
        <v>3575.3433333333332</v>
      </c>
      <c r="O99" s="61">
        <f>SUMIFS(Tablo2[Temmuz],Tablo2[BÖLÜM],Tablo142[[#This Row],[Bölüm]])/60</f>
        <v>339.66666666666669</v>
      </c>
      <c r="P99" s="31">
        <f>AC99+O99+Tablo142[[#This Row],[Ödünç İşçilik]]</f>
        <v>3915.0099999999998</v>
      </c>
      <c r="Q99" s="31">
        <f t="shared" si="14"/>
        <v>284.49000000000024</v>
      </c>
      <c r="R99" s="439">
        <v>20</v>
      </c>
      <c r="S99" s="364"/>
      <c r="T99" s="364">
        <f>3948+500</f>
        <v>4448</v>
      </c>
      <c r="U99" s="364"/>
      <c r="V99" s="158">
        <v>248.5</v>
      </c>
      <c r="W99" s="364"/>
      <c r="X99" s="363"/>
      <c r="Y99" s="364">
        <f>2931.5+500</f>
        <v>3431.5</v>
      </c>
      <c r="Z99" s="364"/>
      <c r="AA99" s="364">
        <v>768.5</v>
      </c>
      <c r="AB99" s="364"/>
      <c r="AC99" s="432">
        <f>Sayfa1!Q652</f>
        <v>3575.3433333333332</v>
      </c>
    </row>
    <row r="100" spans="2:29" ht="19.95" customHeight="1" x14ac:dyDescent="0.3">
      <c r="B100" s="229" t="s">
        <v>114</v>
      </c>
      <c r="C100" s="25" t="s">
        <v>4</v>
      </c>
      <c r="D100" s="26" t="s">
        <v>108</v>
      </c>
      <c r="E100" s="27" t="s">
        <v>13</v>
      </c>
      <c r="F100" s="488">
        <f>Tablo142[[#This Row],[Verimlilik
%]]+Tablo142[[#This Row],[Net İşçilik Kapasite Kaybı %]]</f>
        <v>70.860637539464307</v>
      </c>
      <c r="G100" s="43">
        <f t="shared" si="16"/>
        <v>59.98376616763418</v>
      </c>
      <c r="H100" s="43">
        <f>Tablo142[[#This Row],[Duruş]]/Tablo142[[#This Row],[Net Kapasite Direkt]]*100</f>
        <v>10.876871371830125</v>
      </c>
      <c r="I100" s="43">
        <f>(Tablo142[[#This Row],[Net Kapasite Direkt]]-Tablo142[[#This Row],[Toplam Girilen İşçilik]])/Tablo142[[#This Row],[Net Kapasite Direkt]]*100</f>
        <v>29.13936246053569</v>
      </c>
      <c r="J100" s="28">
        <f t="shared" si="10"/>
        <v>11.579324340456012</v>
      </c>
      <c r="K100" s="29">
        <f t="shared" si="11"/>
        <v>3273</v>
      </c>
      <c r="L100" s="29">
        <f t="shared" si="12"/>
        <v>430.5</v>
      </c>
      <c r="M100" s="30">
        <f t="shared" si="13"/>
        <v>27.706896551724135</v>
      </c>
      <c r="N100" s="30">
        <f>Tablo142[[#This Row],[Ödünç İşçilik]]+Tablo142[[#This Row],[Üretilen Değer (Sap Verisi)]]</f>
        <v>1963.2686666666666</v>
      </c>
      <c r="O100" s="61">
        <f>SUMIFS(Tablo2[Temmuz],Tablo2[BÖLÜM],Tablo142[[#This Row],[Bölüm]])/60</f>
        <v>356</v>
      </c>
      <c r="P100" s="31">
        <f>AC100+O100+Tablo142[[#This Row],[Ödünç İşçilik]]</f>
        <v>2319.2686666666668</v>
      </c>
      <c r="Q100" s="31">
        <f t="shared" si="14"/>
        <v>953.73133333333317</v>
      </c>
      <c r="R100" s="439">
        <v>22</v>
      </c>
      <c r="S100" s="364">
        <v>2</v>
      </c>
      <c r="T100" s="364">
        <f>4247-500</f>
        <v>3747</v>
      </c>
      <c r="U100" s="364">
        <v>441.5</v>
      </c>
      <c r="V100" s="158">
        <v>474</v>
      </c>
      <c r="W100" s="364">
        <v>11</v>
      </c>
      <c r="X100" s="363">
        <f>1080/60</f>
        <v>18</v>
      </c>
      <c r="Y100" s="364">
        <f>3081-500</f>
        <v>2581</v>
      </c>
      <c r="Z100" s="364">
        <v>319</v>
      </c>
      <c r="AA100" s="364">
        <v>692</v>
      </c>
      <c r="AB100" s="364">
        <v>111.5</v>
      </c>
      <c r="AC100" s="432">
        <f>Sayfa1!Q653</f>
        <v>1945.2686666666666</v>
      </c>
    </row>
    <row r="101" spans="2:29" ht="19.95" customHeight="1" x14ac:dyDescent="0.3">
      <c r="B101" s="229" t="s">
        <v>114</v>
      </c>
      <c r="C101" s="25" t="s">
        <v>4</v>
      </c>
      <c r="D101" s="26" t="s">
        <v>108</v>
      </c>
      <c r="E101" s="27" t="s">
        <v>9</v>
      </c>
      <c r="F101" s="488">
        <f>Tablo142[[#This Row],[Verimlilik
%]]+Tablo142[[#This Row],[Net İşçilik Kapasite Kaybı %]]</f>
        <v>84.86150174720872</v>
      </c>
      <c r="G101" s="43">
        <f t="shared" si="16"/>
        <v>73.47481462541549</v>
      </c>
      <c r="H101" s="43">
        <f>Tablo142[[#This Row],[Duruş]]/Tablo142[[#This Row],[Net Kapasite Direkt]]*100</f>
        <v>11.386687121793232</v>
      </c>
      <c r="I101" s="43">
        <f>(Tablo142[[#This Row],[Net Kapasite Direkt]]-Tablo142[[#This Row],[Toplam Girilen İşçilik]])/Tablo142[[#This Row],[Net Kapasite Direkt]]*100</f>
        <v>15.138498252791271</v>
      </c>
      <c r="J101" s="28">
        <f t="shared" ref="J101:J162" si="22">(V101+W101)/(T101+U101)*100</f>
        <v>1.8569636135508156</v>
      </c>
      <c r="K101" s="29">
        <f t="shared" ref="K101:L162" si="23">T101-V101</f>
        <v>1955.5</v>
      </c>
      <c r="L101" s="29">
        <f t="shared" si="23"/>
        <v>0</v>
      </c>
      <c r="M101" s="30">
        <f t="shared" ref="M101:M162" si="24">(AA101+AB101)/(Y101+Z101)*100</f>
        <v>21.233725976441413</v>
      </c>
      <c r="N101" s="30">
        <f>Tablo142[[#This Row],[Ödünç İşçilik]]+Tablo142[[#This Row],[Üretilen Değer (Sap Verisi)]]</f>
        <v>1436.8</v>
      </c>
      <c r="O101" s="61">
        <f>SUMIFS(Tablo2[Temmuz],Tablo2[BÖLÜM],Tablo142[[#This Row],[Bölüm]])/60</f>
        <v>222.66666666666666</v>
      </c>
      <c r="P101" s="31">
        <f>AC101+O101+Tablo142[[#This Row],[Ödünç İşçilik]]</f>
        <v>1659.4666666666667</v>
      </c>
      <c r="Q101" s="31">
        <f t="shared" ref="Q101:Q162" si="25">K101-P101</f>
        <v>296.0333333333333</v>
      </c>
      <c r="R101" s="439">
        <v>10</v>
      </c>
      <c r="S101" s="364"/>
      <c r="T101" s="364">
        <v>1992.5</v>
      </c>
      <c r="U101" s="364"/>
      <c r="V101" s="158">
        <v>37</v>
      </c>
      <c r="W101" s="364"/>
      <c r="X101" s="363">
        <f>19040/60</f>
        <v>317.33333333333331</v>
      </c>
      <c r="Y101" s="364">
        <v>1613</v>
      </c>
      <c r="Z101" s="364"/>
      <c r="AA101" s="364">
        <v>342.5</v>
      </c>
      <c r="AB101" s="364"/>
      <c r="AC101" s="432">
        <f>Sayfa1!Q654</f>
        <v>1119.4666666666667</v>
      </c>
    </row>
    <row r="102" spans="2:29" ht="19.95" customHeight="1" x14ac:dyDescent="0.3">
      <c r="B102" s="229" t="s">
        <v>114</v>
      </c>
      <c r="C102" s="25" t="s">
        <v>1011</v>
      </c>
      <c r="D102" s="26" t="s">
        <v>108</v>
      </c>
      <c r="E102" s="27" t="s">
        <v>1015</v>
      </c>
      <c r="F102" s="488">
        <f>Tablo142[[#This Row],[Verimlilik
%]]+Tablo142[[#This Row],[Net İşçilik Kapasite Kaybı %]]</f>
        <v>53.917581077785911</v>
      </c>
      <c r="G102" s="89">
        <f>(AC102+X102)/K102*100</f>
        <v>53.917581077785911</v>
      </c>
      <c r="H102" s="43">
        <f>Tablo142[[#This Row],[Duruş]]/Tablo142[[#This Row],[Net Kapasite Direkt]]*100</f>
        <v>0</v>
      </c>
      <c r="I102" s="43">
        <f>(Tablo142[[#This Row],[Net Kapasite Direkt]]-Tablo142[[#This Row],[Toplam Girilen İşçilik]])/Tablo142[[#This Row],[Net Kapasite Direkt]]*100</f>
        <v>46.082418922214089</v>
      </c>
      <c r="J102" s="28">
        <f t="shared" ref="J102:J113" si="26">(V102+W102)/(T102+U102)*100</f>
        <v>16.339522546419097</v>
      </c>
      <c r="K102" s="29">
        <f t="shared" ref="K102:K113" si="27">T102-V102</f>
        <v>683.5</v>
      </c>
      <c r="L102" s="29">
        <f t="shared" ref="L102:L113" si="28">U102-W102</f>
        <v>105</v>
      </c>
      <c r="M102" s="30">
        <f t="shared" ref="M102:M113" si="29">(AA102+AB102)/(Y102+Z102)*100</f>
        <v>17.511177347242921</v>
      </c>
      <c r="N102" s="30">
        <f>Tablo142[[#This Row],[Ödünç İşçilik]]+Tablo142[[#This Row],[Üretilen Değer (Sap Verisi)]]</f>
        <v>368.5266666666667</v>
      </c>
      <c r="O102" s="61">
        <f>SUMIFS(Tablo2[Temmuz],Tablo2[BÖLÜM],Tablo142[[#This Row],[Bölüm]])/60</f>
        <v>0</v>
      </c>
      <c r="P102" s="31">
        <f>AC102+O102+Tablo142[[#This Row],[Ödünç İşçilik]]</f>
        <v>368.5266666666667</v>
      </c>
      <c r="Q102" s="31">
        <f t="shared" ref="Q102:Q113" si="30">K102-P102</f>
        <v>314.9733333333333</v>
      </c>
      <c r="R102" s="439">
        <v>4</v>
      </c>
      <c r="S102" s="364">
        <v>1</v>
      </c>
      <c r="T102" s="364">
        <v>762.5</v>
      </c>
      <c r="U102" s="364">
        <v>180</v>
      </c>
      <c r="V102" s="158">
        <v>79</v>
      </c>
      <c r="W102" s="364">
        <v>75</v>
      </c>
      <c r="X102" s="404"/>
      <c r="Y102" s="364">
        <v>581</v>
      </c>
      <c r="Z102" s="364">
        <v>90</v>
      </c>
      <c r="AA102" s="364">
        <v>102.5</v>
      </c>
      <c r="AB102" s="364">
        <v>15</v>
      </c>
      <c r="AC102" s="484">
        <f>Sayfa1!Q666</f>
        <v>368.5266666666667</v>
      </c>
    </row>
    <row r="103" spans="2:29" ht="19.95" customHeight="1" x14ac:dyDescent="0.3">
      <c r="B103" s="229" t="s">
        <v>114</v>
      </c>
      <c r="C103" s="25" t="s">
        <v>1011</v>
      </c>
      <c r="D103" s="26" t="s">
        <v>108</v>
      </c>
      <c r="E103" s="27" t="s">
        <v>1016</v>
      </c>
      <c r="F103" s="488">
        <f>Tablo142[[#This Row],[Verimlilik
%]]+Tablo142[[#This Row],[Net İşçilik Kapasite Kaybı %]]</f>
        <v>0.76569264069264076</v>
      </c>
      <c r="G103" s="43">
        <f t="shared" si="16"/>
        <v>0.76569264069264076</v>
      </c>
      <c r="H103" s="43">
        <f>Tablo142[[#This Row],[Duruş]]/Tablo142[[#This Row],[Net Kapasite Direkt]]*100</f>
        <v>0</v>
      </c>
      <c r="I103" s="43">
        <f>(Tablo142[[#This Row],[Net Kapasite Direkt]]-Tablo142[[#This Row],[Toplam Girilen İşçilik]])/Tablo142[[#This Row],[Net Kapasite Direkt]]*100</f>
        <v>99.234307359307351</v>
      </c>
      <c r="J103" s="28">
        <f t="shared" si="26"/>
        <v>11.196540124939933</v>
      </c>
      <c r="K103" s="29">
        <f t="shared" si="27"/>
        <v>924</v>
      </c>
      <c r="L103" s="29">
        <f t="shared" si="28"/>
        <v>0</v>
      </c>
      <c r="M103" s="30">
        <f t="shared" si="29"/>
        <v>30.416372618207483</v>
      </c>
      <c r="N103" s="30">
        <f>Tablo142[[#This Row],[Ödünç İşçilik]]+Tablo142[[#This Row],[Üretilen Değer (Sap Verisi)]]</f>
        <v>7.0750000000000002</v>
      </c>
      <c r="O103" s="61">
        <f>SUMIFS(Tablo2[Temmuz],Tablo2[BÖLÜM],Tablo142[[#This Row],[Bölüm]])/60</f>
        <v>0</v>
      </c>
      <c r="P103" s="31">
        <f>AC103+O103+Tablo142[[#This Row],[Ödünç İşçilik]]</f>
        <v>7.0750000000000002</v>
      </c>
      <c r="Q103" s="31">
        <f t="shared" si="30"/>
        <v>916.92499999999995</v>
      </c>
      <c r="R103" s="439">
        <v>5</v>
      </c>
      <c r="S103" s="364"/>
      <c r="T103" s="364">
        <v>1040.5</v>
      </c>
      <c r="U103" s="364"/>
      <c r="V103" s="158">
        <v>116.5</v>
      </c>
      <c r="W103" s="364"/>
      <c r="X103" s="363"/>
      <c r="Y103" s="364">
        <v>708.5</v>
      </c>
      <c r="Z103" s="364"/>
      <c r="AA103" s="364">
        <v>215.5</v>
      </c>
      <c r="AB103" s="364"/>
      <c r="AC103" s="484">
        <f>Sayfa1!Q667</f>
        <v>7.0750000000000002</v>
      </c>
    </row>
    <row r="104" spans="2:29" ht="19.95" customHeight="1" x14ac:dyDescent="0.3">
      <c r="B104" s="229" t="s">
        <v>114</v>
      </c>
      <c r="C104" s="25" t="s">
        <v>1011</v>
      </c>
      <c r="D104" s="26" t="s">
        <v>108</v>
      </c>
      <c r="E104" s="27" t="s">
        <v>1017</v>
      </c>
      <c r="F104" s="488">
        <f>Tablo142[[#This Row],[Verimlilik
%]]+Tablo142[[#This Row],[Net İşçilik Kapasite Kaybı %]]</f>
        <v>3.5145888594164454</v>
      </c>
      <c r="G104" s="43">
        <f t="shared" si="16"/>
        <v>3.5145888594164454</v>
      </c>
      <c r="H104" s="43">
        <f>Tablo142[[#This Row],[Duruş]]/Tablo142[[#This Row],[Net Kapasite Direkt]]*100</f>
        <v>0</v>
      </c>
      <c r="I104" s="43">
        <f>(Tablo142[[#This Row],[Net Kapasite Direkt]]-Tablo142[[#This Row],[Toplam Girilen İşçilik]])/Tablo142[[#This Row],[Net Kapasite Direkt]]*100</f>
        <v>96.485411140583551</v>
      </c>
      <c r="J104" s="28">
        <f t="shared" si="26"/>
        <v>6.4878048780487809</v>
      </c>
      <c r="K104" s="29">
        <f t="shared" si="27"/>
        <v>754</v>
      </c>
      <c r="L104" s="29">
        <f t="shared" si="28"/>
        <v>204.5</v>
      </c>
      <c r="M104" s="30">
        <f t="shared" si="29"/>
        <v>26.367831245880026</v>
      </c>
      <c r="N104" s="30">
        <f>Tablo142[[#This Row],[Ödünç İşçilik]]+Tablo142[[#This Row],[Üretilen Değer (Sap Verisi)]]</f>
        <v>26.5</v>
      </c>
      <c r="O104" s="61">
        <f>SUMIFS(Tablo2[Temmuz],Tablo2[BÖLÜM],Tablo142[[#This Row],[Bölüm]])/60</f>
        <v>0</v>
      </c>
      <c r="P104" s="31">
        <f>AC104+O104+Tablo142[[#This Row],[Ödünç İşçilik]]</f>
        <v>26.5</v>
      </c>
      <c r="Q104" s="31">
        <f t="shared" si="30"/>
        <v>727.5</v>
      </c>
      <c r="R104" s="439">
        <v>4</v>
      </c>
      <c r="S104" s="364">
        <v>1</v>
      </c>
      <c r="T104" s="364">
        <v>815.5</v>
      </c>
      <c r="U104" s="364">
        <v>209.5</v>
      </c>
      <c r="V104" s="158">
        <v>61.5</v>
      </c>
      <c r="W104" s="364">
        <v>5</v>
      </c>
      <c r="X104" s="363"/>
      <c r="Y104" s="364">
        <v>598.5</v>
      </c>
      <c r="Z104" s="364">
        <v>160</v>
      </c>
      <c r="AA104" s="364">
        <v>155.5</v>
      </c>
      <c r="AB104" s="364">
        <v>44.5</v>
      </c>
      <c r="AC104" s="484">
        <f>Sayfa1!Q668</f>
        <v>26.5</v>
      </c>
    </row>
    <row r="105" spans="2:29" ht="19.95" customHeight="1" x14ac:dyDescent="0.3">
      <c r="B105" s="229" t="s">
        <v>114</v>
      </c>
      <c r="C105" s="25" t="s">
        <v>1011</v>
      </c>
      <c r="D105" s="26" t="s">
        <v>108</v>
      </c>
      <c r="E105" s="27" t="s">
        <v>1014</v>
      </c>
      <c r="F105" s="488">
        <f>Tablo142[[#This Row],[Verimlilik
%]]+Tablo142[[#This Row],[Net İşçilik Kapasite Kaybı %]]</f>
        <v>87.798581560283694</v>
      </c>
      <c r="G105" s="43">
        <f t="shared" si="16"/>
        <v>81.911420665967</v>
      </c>
      <c r="H105" s="43">
        <f>Tablo142[[#This Row],[Duruş]]/Tablo142[[#This Row],[Net Kapasite Direkt]]*100</f>
        <v>5.8871608943166995</v>
      </c>
      <c r="I105" s="43">
        <f>(Tablo142[[#This Row],[Net Kapasite Direkt]]-Tablo142[[#This Row],[Toplam Girilen İşçilik]])/Tablo142[[#This Row],[Net Kapasite Direkt]]*100</f>
        <v>12.201418439716313</v>
      </c>
      <c r="J105" s="28">
        <f t="shared" si="26"/>
        <v>8.817457976997936</v>
      </c>
      <c r="K105" s="29">
        <f t="shared" si="27"/>
        <v>5240.5</v>
      </c>
      <c r="L105" s="29">
        <f t="shared" si="28"/>
        <v>943.5</v>
      </c>
      <c r="M105" s="30">
        <f t="shared" si="29"/>
        <v>30.409110080134965</v>
      </c>
      <c r="N105" s="30">
        <f>Tablo142[[#This Row],[Ödünç İşçilik]]+Tablo142[[#This Row],[Üretilen Değer (Sap Verisi)]]</f>
        <v>4292.5680000000002</v>
      </c>
      <c r="O105" s="61">
        <f>SUMIFS(Tablo2[Temmuz],Tablo2[BÖLÜM],Tablo142[[#This Row],[Bölüm]])/60</f>
        <v>308.51666666666665</v>
      </c>
      <c r="P105" s="31">
        <f>AC105+O105+Tablo142[[#This Row],[Ödünç İşçilik]]</f>
        <v>4601.0846666666666</v>
      </c>
      <c r="Q105" s="31">
        <f t="shared" si="30"/>
        <v>639.41533333333336</v>
      </c>
      <c r="R105" s="439">
        <v>28</v>
      </c>
      <c r="S105" s="364">
        <v>5</v>
      </c>
      <c r="T105" s="364">
        <v>5733.5</v>
      </c>
      <c r="U105" s="364">
        <v>1048.5</v>
      </c>
      <c r="V105" s="158">
        <v>493</v>
      </c>
      <c r="W105" s="364">
        <v>105</v>
      </c>
      <c r="X105" s="363">
        <f>16030/60</f>
        <v>267.16666666666669</v>
      </c>
      <c r="Y105" s="364">
        <v>4022</v>
      </c>
      <c r="Z105" s="364">
        <v>720</v>
      </c>
      <c r="AA105" s="364">
        <v>1218.5</v>
      </c>
      <c r="AB105" s="364">
        <v>223.5</v>
      </c>
      <c r="AC105" s="484">
        <f>Sayfa1!Q672</f>
        <v>4025.4013333333332</v>
      </c>
    </row>
    <row r="106" spans="2:29" ht="19.95" customHeight="1" x14ac:dyDescent="0.3">
      <c r="B106" s="229" t="s">
        <v>114</v>
      </c>
      <c r="C106" s="25" t="s">
        <v>1011</v>
      </c>
      <c r="D106" s="26" t="s">
        <v>108</v>
      </c>
      <c r="E106" s="27" t="s">
        <v>26</v>
      </c>
      <c r="F106" s="488">
        <f>Tablo142[[#This Row],[Verimlilik
%]]+Tablo142[[#This Row],[Net İşçilik Kapasite Kaybı %]]</f>
        <v>73.068359140559352</v>
      </c>
      <c r="G106" s="89">
        <f t="shared" ref="G106:G107" si="31">(AC106+X106)/K106*100</f>
        <v>45.637078381946942</v>
      </c>
      <c r="H106" s="43">
        <f>Tablo142[[#This Row],[Duruş]]/Tablo142[[#This Row],[Net Kapasite Direkt]]*100</f>
        <v>27.431280758612409</v>
      </c>
      <c r="I106" s="43">
        <f>(Tablo142[[#This Row],[Net Kapasite Direkt]]-Tablo142[[#This Row],[Toplam Girilen İşçilik]])/Tablo142[[#This Row],[Net Kapasite Direkt]]*100</f>
        <v>26.931640859440641</v>
      </c>
      <c r="J106" s="28">
        <f t="shared" si="26"/>
        <v>7.0988559694925195</v>
      </c>
      <c r="K106" s="29">
        <f t="shared" si="27"/>
        <v>1388.5</v>
      </c>
      <c r="L106" s="29">
        <f t="shared" si="28"/>
        <v>195</v>
      </c>
      <c r="M106" s="30">
        <f t="shared" si="29"/>
        <v>16.092375366568916</v>
      </c>
      <c r="N106" s="30">
        <f>Tablo142[[#This Row],[Ödünç İşçilik]]+Tablo142[[#This Row],[Üretilen Değer (Sap Verisi)]]</f>
        <v>633.67083333333335</v>
      </c>
      <c r="O106" s="61">
        <f>SUMIFS(Tablo2[Temmuz],Tablo2[BÖLÜM],Tablo142[[#This Row],[Bölüm]])/60</f>
        <v>380.88333333333333</v>
      </c>
      <c r="P106" s="31">
        <f>AC106+O106+Tablo142[[#This Row],[Ödünç İşçilik]]</f>
        <v>1014.5541666666667</v>
      </c>
      <c r="Q106" s="31">
        <f t="shared" si="30"/>
        <v>373.94583333333333</v>
      </c>
      <c r="R106" s="439">
        <v>8</v>
      </c>
      <c r="S106" s="364">
        <v>1</v>
      </c>
      <c r="T106" s="364">
        <v>1502</v>
      </c>
      <c r="U106" s="364">
        <v>202.5</v>
      </c>
      <c r="V106" s="158">
        <v>113.5</v>
      </c>
      <c r="W106" s="364">
        <v>7.5</v>
      </c>
      <c r="X106" s="404"/>
      <c r="Y106" s="364">
        <v>1206.5</v>
      </c>
      <c r="Z106" s="364">
        <v>157.5</v>
      </c>
      <c r="AA106" s="364">
        <v>182</v>
      </c>
      <c r="AB106" s="364">
        <v>37.5</v>
      </c>
      <c r="AC106" s="484">
        <f>Sayfa1!Q673</f>
        <v>633.67083333333335</v>
      </c>
    </row>
    <row r="107" spans="2:29" ht="19.95" customHeight="1" x14ac:dyDescent="0.3">
      <c r="B107" s="229" t="s">
        <v>114</v>
      </c>
      <c r="C107" s="25" t="s">
        <v>4</v>
      </c>
      <c r="D107" s="26" t="s">
        <v>108</v>
      </c>
      <c r="E107" s="27" t="s">
        <v>17</v>
      </c>
      <c r="F107" s="488">
        <f>Tablo142[[#This Row],[Verimlilik
%]]+Tablo142[[#This Row],[Net İşçilik Kapasite Kaybı %]]</f>
        <v>48.152429378531075</v>
      </c>
      <c r="G107" s="89">
        <f t="shared" si="31"/>
        <v>48.152429378531075</v>
      </c>
      <c r="H107" s="43">
        <f>Tablo142[[#This Row],[Duruş]]/Tablo142[[#This Row],[Net Kapasite Direkt]]*100</f>
        <v>0</v>
      </c>
      <c r="I107" s="43">
        <f>(Tablo142[[#This Row],[Net Kapasite Direkt]]-Tablo142[[#This Row],[Toplam Girilen İşçilik]])/Tablo142[[#This Row],[Net Kapasite Direkt]]*100</f>
        <v>51.847570621468932</v>
      </c>
      <c r="J107" s="28">
        <f t="shared" si="26"/>
        <v>8.6031213723719855</v>
      </c>
      <c r="K107" s="29">
        <f t="shared" si="27"/>
        <v>2950</v>
      </c>
      <c r="L107" s="29">
        <f t="shared" si="28"/>
        <v>593</v>
      </c>
      <c r="M107" s="30">
        <f t="shared" si="29"/>
        <v>26.467963590933429</v>
      </c>
      <c r="N107" s="30">
        <f>Tablo142[[#This Row],[Ödünç İşçilik]]+Tablo142[[#This Row],[Üretilen Değer (Sap Verisi)]]</f>
        <v>1420.4966666666667</v>
      </c>
      <c r="O107" s="61">
        <f>SUMIFS(Tablo2[Temmuz],Tablo2[BÖLÜM],Tablo142[[#This Row],[Bölüm]])/60</f>
        <v>0</v>
      </c>
      <c r="P107" s="31">
        <f>AC107+O107+Tablo142[[#This Row],[Ödünç İşçilik]]</f>
        <v>1420.4966666666667</v>
      </c>
      <c r="Q107" s="31">
        <f t="shared" si="30"/>
        <v>1529.5033333333333</v>
      </c>
      <c r="R107" s="439">
        <v>16</v>
      </c>
      <c r="S107" s="364">
        <v>3</v>
      </c>
      <c r="T107" s="364">
        <v>3252.5</v>
      </c>
      <c r="U107" s="364">
        <v>624</v>
      </c>
      <c r="V107" s="158">
        <v>302.5</v>
      </c>
      <c r="W107" s="364">
        <v>31</v>
      </c>
      <c r="X107" s="404"/>
      <c r="Y107" s="364">
        <v>2337.5</v>
      </c>
      <c r="Z107" s="364">
        <v>464</v>
      </c>
      <c r="AA107" s="364">
        <v>612.5</v>
      </c>
      <c r="AB107" s="364">
        <v>129</v>
      </c>
      <c r="AC107" s="484">
        <f>Sayfa1!Q674</f>
        <v>1420.4966666666667</v>
      </c>
    </row>
    <row r="108" spans="2:29" ht="19.95" customHeight="1" x14ac:dyDescent="0.3">
      <c r="B108" s="229" t="s">
        <v>114</v>
      </c>
      <c r="C108" s="25" t="s">
        <v>4</v>
      </c>
      <c r="D108" s="26" t="s">
        <v>108</v>
      </c>
      <c r="E108" s="27" t="s">
        <v>29</v>
      </c>
      <c r="F108" s="488">
        <f>Tablo142[[#This Row],[Verimlilik
%]]+Tablo142[[#This Row],[Net İşçilik Kapasite Kaybı %]]</f>
        <v>45.661204294217704</v>
      </c>
      <c r="G108" s="43">
        <f t="shared" si="16"/>
        <v>45.661204294217704</v>
      </c>
      <c r="H108" s="43">
        <f>Tablo142[[#This Row],[Duruş]]/Tablo142[[#This Row],[Net Kapasite Direkt]]*100</f>
        <v>0</v>
      </c>
      <c r="I108" s="43">
        <f>(Tablo142[[#This Row],[Net Kapasite Direkt]]-Tablo142[[#This Row],[Toplam Girilen İşçilik]])/Tablo142[[#This Row],[Net Kapasite Direkt]]*100</f>
        <v>54.338795705782296</v>
      </c>
      <c r="J108" s="28">
        <f t="shared" si="26"/>
        <v>14.83528161530287</v>
      </c>
      <c r="K108" s="29">
        <f t="shared" si="27"/>
        <v>1568</v>
      </c>
      <c r="L108" s="29">
        <f t="shared" si="28"/>
        <v>435.5</v>
      </c>
      <c r="M108" s="30">
        <f t="shared" si="29"/>
        <v>31.939413895291409</v>
      </c>
      <c r="N108" s="30">
        <f>Tablo142[[#This Row],[Ödünç İşçilik]]+Tablo142[[#This Row],[Üretilen Değer (Sap Verisi)]]</f>
        <v>715.96768333333364</v>
      </c>
      <c r="O108" s="61">
        <f>SUMIFS(Tablo2[Temmuz],Tablo2[BÖLÜM],Tablo142[[#This Row],[Bölüm]])/60</f>
        <v>0</v>
      </c>
      <c r="P108" s="31">
        <f>AC108+O108+Tablo142[[#This Row],[Ödünç İşçilik]]</f>
        <v>715.96768333333364</v>
      </c>
      <c r="Q108" s="31">
        <f t="shared" si="30"/>
        <v>852.03231666666636</v>
      </c>
      <c r="R108" s="439">
        <v>9</v>
      </c>
      <c r="S108" s="364">
        <v>2</v>
      </c>
      <c r="T108" s="364">
        <v>1910</v>
      </c>
      <c r="U108" s="364">
        <v>442.5</v>
      </c>
      <c r="V108" s="158">
        <v>342</v>
      </c>
      <c r="W108" s="364">
        <v>7</v>
      </c>
      <c r="X108" s="363"/>
      <c r="Y108" s="364">
        <v>1195.5</v>
      </c>
      <c r="Z108" s="364">
        <v>323</v>
      </c>
      <c r="AA108" s="364">
        <v>372.5</v>
      </c>
      <c r="AB108" s="364">
        <v>112.5</v>
      </c>
      <c r="AC108" s="484">
        <f>Sayfa1!Q675</f>
        <v>715.96768333333364</v>
      </c>
    </row>
    <row r="109" spans="2:29" ht="19.95" customHeight="1" x14ac:dyDescent="0.3">
      <c r="B109" s="229" t="s">
        <v>114</v>
      </c>
      <c r="C109" s="25" t="s">
        <v>4</v>
      </c>
      <c r="D109" s="26" t="s">
        <v>108</v>
      </c>
      <c r="E109" s="27" t="s">
        <v>43</v>
      </c>
      <c r="F109" s="488">
        <f>Tablo142[[#This Row],[Verimlilik
%]]+Tablo142[[#This Row],[Net İşçilik Kapasite Kaybı %]]</f>
        <v>70.057951040231018</v>
      </c>
      <c r="G109" s="43">
        <f t="shared" si="16"/>
        <v>70.057951040231018</v>
      </c>
      <c r="H109" s="43">
        <f>Tablo142[[#This Row],[Duruş]]/Tablo142[[#This Row],[Net Kapasite Direkt]]*100</f>
        <v>0</v>
      </c>
      <c r="I109" s="43">
        <f>(Tablo142[[#This Row],[Net Kapasite Direkt]]-Tablo142[[#This Row],[Toplam Girilen İşçilik]])/Tablo142[[#This Row],[Net Kapasite Direkt]]*100</f>
        <v>29.942048959768986</v>
      </c>
      <c r="J109" s="28">
        <f t="shared" si="26"/>
        <v>8.3367897138116955</v>
      </c>
      <c r="K109" s="29">
        <f t="shared" si="27"/>
        <v>2539.5</v>
      </c>
      <c r="L109" s="29">
        <f t="shared" si="28"/>
        <v>775.5</v>
      </c>
      <c r="M109" s="30">
        <f t="shared" si="29"/>
        <v>24.227093872962339</v>
      </c>
      <c r="N109" s="30">
        <f>Tablo142[[#This Row],[Ödünç İşçilik]]+Tablo142[[#This Row],[Üretilen Değer (Sap Verisi)]]</f>
        <v>1779.1216666666667</v>
      </c>
      <c r="O109" s="61">
        <f>SUMIFS(Tablo2[Temmuz],Tablo2[BÖLÜM],Tablo142[[#This Row],[Bölüm]])/60</f>
        <v>0</v>
      </c>
      <c r="P109" s="31">
        <f>AC109+O109+Tablo142[[#This Row],[Ödünç İşçilik]]</f>
        <v>1779.1216666666667</v>
      </c>
      <c r="Q109" s="31">
        <f t="shared" si="30"/>
        <v>760.37833333333333</v>
      </c>
      <c r="R109" s="439">
        <v>14</v>
      </c>
      <c r="S109" s="364">
        <v>4</v>
      </c>
      <c r="T109" s="364">
        <v>2750.5</v>
      </c>
      <c r="U109" s="364">
        <v>866</v>
      </c>
      <c r="V109" s="158">
        <v>211</v>
      </c>
      <c r="W109" s="364">
        <v>90.5</v>
      </c>
      <c r="X109" s="363"/>
      <c r="Y109" s="364">
        <v>2099</v>
      </c>
      <c r="Z109" s="364">
        <v>569.5</v>
      </c>
      <c r="AA109" s="364">
        <v>440.5</v>
      </c>
      <c r="AB109" s="364">
        <v>206</v>
      </c>
      <c r="AC109" s="484">
        <f>Sayfa1!Q678</f>
        <v>1779.1216666666667</v>
      </c>
    </row>
    <row r="110" spans="2:29" ht="19.95" customHeight="1" x14ac:dyDescent="0.3">
      <c r="B110" s="229" t="s">
        <v>114</v>
      </c>
      <c r="C110" s="25" t="s">
        <v>1011</v>
      </c>
      <c r="D110" s="26" t="s">
        <v>108</v>
      </c>
      <c r="E110" s="27" t="s">
        <v>19</v>
      </c>
      <c r="F110" s="488">
        <f>Tablo142[[#This Row],[Verimlilik
%]]+Tablo142[[#This Row],[Net İşçilik Kapasite Kaybı %]]</f>
        <v>66.929249133615642</v>
      </c>
      <c r="G110" s="89">
        <f>(AC110+X110)/K110*100</f>
        <v>54.841583878834477</v>
      </c>
      <c r="H110" s="43">
        <f>Tablo142[[#This Row],[Duruş]]/Tablo142[[#This Row],[Net Kapasite Direkt]]*100</f>
        <v>12.087665254781159</v>
      </c>
      <c r="I110" s="43">
        <f>(Tablo142[[#This Row],[Net Kapasite Direkt]]-Tablo142[[#This Row],[Toplam Girilen İşçilik]])/Tablo142[[#This Row],[Net Kapasite Direkt]]*100</f>
        <v>33.070750866384365</v>
      </c>
      <c r="J110" s="28">
        <f t="shared" si="26"/>
        <v>16.697299589990102</v>
      </c>
      <c r="K110" s="29">
        <f t="shared" si="27"/>
        <v>2597</v>
      </c>
      <c r="L110" s="29">
        <f t="shared" si="28"/>
        <v>349</v>
      </c>
      <c r="M110" s="30">
        <f t="shared" si="29"/>
        <v>15.779131460011788</v>
      </c>
      <c r="N110" s="30">
        <f>Tablo142[[#This Row],[Ödünç İşçilik]]+Tablo142[[#This Row],[Üretilen Değer (Sap Verisi)]]</f>
        <v>1424.2359333333313</v>
      </c>
      <c r="O110" s="61">
        <f>SUMIFS(Tablo2[Temmuz],Tablo2[BÖLÜM],Tablo142[[#This Row],[Bölüm]])/60</f>
        <v>313.91666666666669</v>
      </c>
      <c r="P110" s="31">
        <f>AC110+O110+Tablo142[[#This Row],[Ödünç İşçilik]]</f>
        <v>1738.1525999999981</v>
      </c>
      <c r="Q110" s="31">
        <f t="shared" si="30"/>
        <v>858.84740000000193</v>
      </c>
      <c r="R110" s="439">
        <v>17</v>
      </c>
      <c r="S110" s="364">
        <v>2</v>
      </c>
      <c r="T110" s="364">
        <v>3158.5</v>
      </c>
      <c r="U110" s="364">
        <v>378</v>
      </c>
      <c r="V110" s="158">
        <v>561.5</v>
      </c>
      <c r="W110" s="364">
        <v>29</v>
      </c>
      <c r="X110" s="404"/>
      <c r="Y110" s="364">
        <v>2243.5</v>
      </c>
      <c r="Z110" s="364">
        <v>301</v>
      </c>
      <c r="AA110" s="364">
        <v>353.5</v>
      </c>
      <c r="AB110" s="364">
        <v>48</v>
      </c>
      <c r="AC110" s="484">
        <f>Sayfa1!Q679</f>
        <v>1424.2359333333313</v>
      </c>
    </row>
    <row r="111" spans="2:29" ht="19.95" customHeight="1" x14ac:dyDescent="0.3">
      <c r="B111" s="229" t="s">
        <v>114</v>
      </c>
      <c r="C111" s="25" t="s">
        <v>4</v>
      </c>
      <c r="D111" s="26" t="s">
        <v>25</v>
      </c>
      <c r="E111" s="27" t="s">
        <v>40</v>
      </c>
      <c r="F111" s="488">
        <f>Tablo142[[#This Row],[Verimlilik
%]]+Tablo142[[#This Row],[Net İşçilik Kapasite Kaybı %]]</f>
        <v>57.852108433734941</v>
      </c>
      <c r="G111" s="43">
        <f t="shared" si="16"/>
        <v>47.801907630522088</v>
      </c>
      <c r="H111" s="43">
        <f>Tablo142[[#This Row],[Duruş]]/Tablo142[[#This Row],[Net Kapasite Direkt]]*100</f>
        <v>10.050200803212853</v>
      </c>
      <c r="I111" s="43">
        <f>(Tablo142[[#This Row],[Net Kapasite Direkt]]-Tablo142[[#This Row],[Toplam Girilen İşçilik]])/Tablo142[[#This Row],[Net Kapasite Direkt]]*100</f>
        <v>42.147891566265059</v>
      </c>
      <c r="J111" s="28">
        <f t="shared" si="26"/>
        <v>5.2002810962754742</v>
      </c>
      <c r="K111" s="29">
        <f t="shared" si="27"/>
        <v>1660</v>
      </c>
      <c r="L111" s="29">
        <f t="shared" si="28"/>
        <v>363.5</v>
      </c>
      <c r="M111" s="30">
        <f t="shared" si="29"/>
        <v>8.26645264847512</v>
      </c>
      <c r="N111" s="30">
        <f>Tablo142[[#This Row],[Ödünç İşçilik]]+Tablo142[[#This Row],[Üretilen Değer (Sap Verisi)]]</f>
        <v>793.51166666666666</v>
      </c>
      <c r="O111" s="61">
        <f>SUMIFS(Tablo2[Temmuz],Tablo2[BÖLÜM],Tablo142[[#This Row],[Bölüm]])/60</f>
        <v>166.83333333333334</v>
      </c>
      <c r="P111" s="31">
        <f>AC111+O111+Tablo142[[#This Row],[Ödünç İşçilik]]</f>
        <v>960.34500000000003</v>
      </c>
      <c r="Q111" s="31">
        <f t="shared" si="30"/>
        <v>699.65499999999997</v>
      </c>
      <c r="R111" s="439">
        <v>10</v>
      </c>
      <c r="S111" s="364">
        <v>2</v>
      </c>
      <c r="T111" s="364">
        <v>1768.5</v>
      </c>
      <c r="U111" s="364">
        <v>366</v>
      </c>
      <c r="V111" s="158">
        <v>108.5</v>
      </c>
      <c r="W111" s="364">
        <v>2.5</v>
      </c>
      <c r="X111" s="363">
        <f>(7000+12000)/60</f>
        <v>316.66666666666669</v>
      </c>
      <c r="Y111" s="364">
        <v>1541.5</v>
      </c>
      <c r="Z111" s="364">
        <v>327.5</v>
      </c>
      <c r="AA111" s="364">
        <v>118.5</v>
      </c>
      <c r="AB111" s="364">
        <v>36</v>
      </c>
      <c r="AC111" s="484">
        <f>Sayfa1!Q680</f>
        <v>476.84499999999997</v>
      </c>
    </row>
    <row r="112" spans="2:29" ht="19.95" customHeight="1" x14ac:dyDescent="0.3">
      <c r="B112" s="229" t="s">
        <v>114</v>
      </c>
      <c r="C112" s="25" t="s">
        <v>4</v>
      </c>
      <c r="D112" s="26" t="s">
        <v>25</v>
      </c>
      <c r="E112" s="27" t="s">
        <v>35</v>
      </c>
      <c r="F112" s="488">
        <f>Tablo142[[#This Row],[Verimlilik
%]]+Tablo142[[#This Row],[Net İşçilik Kapasite Kaybı %]]</f>
        <v>62.538678757507064</v>
      </c>
      <c r="G112" s="43">
        <f t="shared" si="16"/>
        <v>59.706876665473494</v>
      </c>
      <c r="H112" s="43">
        <f>Tablo142[[#This Row],[Duruş]]/Tablo142[[#This Row],[Net Kapasite Direkt]]*100</f>
        <v>2.831802092033568</v>
      </c>
      <c r="I112" s="43">
        <f>(Tablo142[[#This Row],[Net Kapasite Direkt]]-Tablo142[[#This Row],[Toplam Girilen İşçilik]])/Tablo142[[#This Row],[Net Kapasite Direkt]]*100</f>
        <v>37.461321242492943</v>
      </c>
      <c r="J112" s="28">
        <f t="shared" si="26"/>
        <v>6.1802575107296134</v>
      </c>
      <c r="K112" s="29">
        <f t="shared" si="27"/>
        <v>4190.5</v>
      </c>
      <c r="L112" s="29">
        <f t="shared" si="28"/>
        <v>728</v>
      </c>
      <c r="M112" s="30">
        <f t="shared" si="29"/>
        <v>19.934162399414777</v>
      </c>
      <c r="N112" s="30">
        <f>Tablo142[[#This Row],[Ödünç İşçilik]]+Tablo142[[#This Row],[Üretilen Değer (Sap Verisi)]]</f>
        <v>2502.0166666666669</v>
      </c>
      <c r="O112" s="61">
        <f>SUMIFS(Tablo2[Temmuz],Tablo2[BÖLÜM],Tablo142[[#This Row],[Bölüm]])/60</f>
        <v>118.66666666666667</v>
      </c>
      <c r="P112" s="31">
        <f>AC112+O112+Tablo142[[#This Row],[Ödünç İşçilik]]</f>
        <v>2620.6833333333334</v>
      </c>
      <c r="Q112" s="31">
        <f t="shared" si="30"/>
        <v>1569.8166666666666</v>
      </c>
      <c r="R112" s="439">
        <v>23</v>
      </c>
      <c r="S112" s="364">
        <v>4</v>
      </c>
      <c r="T112" s="364">
        <v>4462</v>
      </c>
      <c r="U112" s="364">
        <v>780.5</v>
      </c>
      <c r="V112" s="158">
        <v>271.5</v>
      </c>
      <c r="W112" s="364">
        <v>52.5</v>
      </c>
      <c r="X112" s="363">
        <f>(1620+5400)/60</f>
        <v>117</v>
      </c>
      <c r="Y112" s="364">
        <v>3493.5</v>
      </c>
      <c r="Z112" s="364">
        <v>607.5</v>
      </c>
      <c r="AA112" s="364">
        <v>697</v>
      </c>
      <c r="AB112" s="364">
        <v>120.5</v>
      </c>
      <c r="AC112" s="484">
        <f>Sayfa1!Q681</f>
        <v>2385.0166666666669</v>
      </c>
    </row>
    <row r="113" spans="2:29" ht="19.95" customHeight="1" x14ac:dyDescent="0.3">
      <c r="B113" s="229" t="s">
        <v>114</v>
      </c>
      <c r="C113" s="25" t="s">
        <v>4</v>
      </c>
      <c r="D113" s="26" t="s">
        <v>25</v>
      </c>
      <c r="E113" s="27" t="s">
        <v>25</v>
      </c>
      <c r="F113" s="488">
        <f>Tablo142[[#This Row],[Verimlilik
%]]+Tablo142[[#This Row],[Net İşçilik Kapasite Kaybı %]]</f>
        <v>38.803384804541999</v>
      </c>
      <c r="G113" s="43">
        <f t="shared" si="16"/>
        <v>38.803384804541999</v>
      </c>
      <c r="H113" s="43">
        <f>Tablo142[[#This Row],[Duruş]]/Tablo142[[#This Row],[Net Kapasite Direkt]]*100</f>
        <v>0</v>
      </c>
      <c r="I113" s="43">
        <f>(Tablo142[[#This Row],[Net Kapasite Direkt]]-Tablo142[[#This Row],[Toplam Girilen İşçilik]])/Tablo142[[#This Row],[Net Kapasite Direkt]]*100</f>
        <v>61.196615195458001</v>
      </c>
      <c r="J113" s="28">
        <f t="shared" si="26"/>
        <v>6.2258113667530086</v>
      </c>
      <c r="K113" s="29">
        <f t="shared" si="27"/>
        <v>13826.5</v>
      </c>
      <c r="L113" s="29">
        <f t="shared" si="28"/>
        <v>1559.5</v>
      </c>
      <c r="M113" s="30">
        <f t="shared" si="29"/>
        <v>22.271228195653038</v>
      </c>
      <c r="N113" s="30">
        <f>Tablo142[[#This Row],[Ödünç İşçilik]]+Tablo142[[#This Row],[Üretilen Değer (Sap Verisi)]]</f>
        <v>5365.15</v>
      </c>
      <c r="O113" s="61">
        <f>SUMIFS(Tablo2[Temmuz],Tablo2[BÖLÜM],Tablo142[[#This Row],[Bölüm]])/60</f>
        <v>0</v>
      </c>
      <c r="P113" s="31">
        <f>AC113+O113+Tablo142[[#This Row],[Ödünç İşçilik]]</f>
        <v>5365.15</v>
      </c>
      <c r="Q113" s="31">
        <f t="shared" si="30"/>
        <v>8461.35</v>
      </c>
      <c r="R113" s="439">
        <v>75</v>
      </c>
      <c r="S113" s="364">
        <v>8</v>
      </c>
      <c r="T113" s="364">
        <v>14763.5</v>
      </c>
      <c r="U113" s="364">
        <v>1644</v>
      </c>
      <c r="V113" s="158">
        <v>937</v>
      </c>
      <c r="W113" s="364">
        <v>84.5</v>
      </c>
      <c r="X113" s="363"/>
      <c r="Y113" s="364">
        <v>11385.5</v>
      </c>
      <c r="Z113" s="364">
        <v>1198</v>
      </c>
      <c r="AA113" s="364">
        <v>2441</v>
      </c>
      <c r="AB113" s="364">
        <v>361.5</v>
      </c>
      <c r="AC113" s="484">
        <f>Sayfa1!Q682</f>
        <v>5365.15</v>
      </c>
    </row>
    <row r="114" spans="2:29" ht="19.95" customHeight="1" x14ac:dyDescent="0.3">
      <c r="B114" s="229" t="s">
        <v>114</v>
      </c>
      <c r="C114" s="25" t="s">
        <v>4</v>
      </c>
      <c r="D114" s="26" t="s">
        <v>25</v>
      </c>
      <c r="E114" s="27" t="s">
        <v>23</v>
      </c>
      <c r="F114" s="488">
        <f>Tablo142[[#This Row],[Verimlilik
%]]+Tablo142[[#This Row],[Net İşçilik Kapasite Kaybı %]]</f>
        <v>47.833194905869284</v>
      </c>
      <c r="G114" s="43">
        <f t="shared" ref="G114:G143" si="32">(AC114+X114)/K114*100</f>
        <v>47.833194905869284</v>
      </c>
      <c r="H114" s="43">
        <f>Tablo142[[#This Row],[Duruş]]/Tablo142[[#This Row],[Net Kapasite Direkt]]*100</f>
        <v>0</v>
      </c>
      <c r="I114" s="43">
        <f>(Tablo142[[#This Row],[Net Kapasite Direkt]]-Tablo142[[#This Row],[Toplam Girilen İşçilik]])/Tablo142[[#This Row],[Net Kapasite Direkt]]*100</f>
        <v>52.166805094130723</v>
      </c>
      <c r="J114" s="28">
        <f t="shared" si="22"/>
        <v>5.0590219224283306</v>
      </c>
      <c r="K114" s="29">
        <f t="shared" si="23"/>
        <v>1204</v>
      </c>
      <c r="L114" s="29">
        <f t="shared" si="23"/>
        <v>203.5</v>
      </c>
      <c r="M114" s="30">
        <f t="shared" si="24"/>
        <v>30.324074074074076</v>
      </c>
      <c r="N114" s="30">
        <f>Tablo142[[#This Row],[Ödünç İşçilik]]+Tablo142[[#This Row],[Üretilen Değer (Sap Verisi)]]</f>
        <v>575.91166666666618</v>
      </c>
      <c r="O114" s="61">
        <f>SUMIFS(Tablo2[Temmuz],Tablo2[BÖLÜM],Tablo142[[#This Row],[Bölüm]])/60</f>
        <v>0</v>
      </c>
      <c r="P114" s="31">
        <f>AC114+O114+Tablo142[[#This Row],[Ödünç İşçilik]]</f>
        <v>575.91166666666618</v>
      </c>
      <c r="Q114" s="31">
        <f t="shared" si="25"/>
        <v>628.08833333333382</v>
      </c>
      <c r="R114" s="439">
        <v>6</v>
      </c>
      <c r="S114" s="364">
        <v>1</v>
      </c>
      <c r="T114" s="364">
        <v>1270</v>
      </c>
      <c r="U114" s="364">
        <v>212.5</v>
      </c>
      <c r="V114" s="158">
        <v>66</v>
      </c>
      <c r="W114" s="364">
        <v>9</v>
      </c>
      <c r="X114" s="363"/>
      <c r="Y114" s="364">
        <v>924</v>
      </c>
      <c r="Z114" s="364">
        <v>156</v>
      </c>
      <c r="AA114" s="364">
        <v>280</v>
      </c>
      <c r="AB114" s="364">
        <v>47.5</v>
      </c>
      <c r="AC114" s="484">
        <f>Sayfa1!Q683</f>
        <v>575.91166666666618</v>
      </c>
    </row>
    <row r="115" spans="2:29" ht="19.95" customHeight="1" thickBot="1" x14ac:dyDescent="0.35">
      <c r="B115" s="231" t="s">
        <v>114</v>
      </c>
      <c r="C115" s="232" t="s">
        <v>4</v>
      </c>
      <c r="D115" s="233" t="s">
        <v>25</v>
      </c>
      <c r="E115" s="234" t="s">
        <v>20</v>
      </c>
      <c r="F115" s="489">
        <f>Tablo142[[#This Row],[Verimlilik
%]]+Tablo142[[#This Row],[Net İşçilik Kapasite Kaybı %]]</f>
        <v>57.353851757421239</v>
      </c>
      <c r="G115" s="236">
        <f t="shared" si="32"/>
        <v>57.353851757421239</v>
      </c>
      <c r="H115" s="236">
        <f>Tablo142[[#This Row],[Duruş]]/Tablo142[[#This Row],[Net Kapasite Direkt]]*100</f>
        <v>0</v>
      </c>
      <c r="I115" s="236">
        <f>(Tablo142[[#This Row],[Net Kapasite Direkt]]-Tablo142[[#This Row],[Toplam Girilen İşçilik]])/Tablo142[[#This Row],[Net Kapasite Direkt]]*100</f>
        <v>42.646148242578761</v>
      </c>
      <c r="J115" s="237">
        <f t="shared" si="22"/>
        <v>5.6068601583113455</v>
      </c>
      <c r="K115" s="238">
        <f t="shared" si="23"/>
        <v>2745.5</v>
      </c>
      <c r="L115" s="238">
        <f t="shared" si="23"/>
        <v>832</v>
      </c>
      <c r="M115" s="239">
        <f t="shared" si="24"/>
        <v>29.73708068902992</v>
      </c>
      <c r="N115" s="239">
        <f>Tablo142[[#This Row],[Ödünç İşçilik]]+Tablo142[[#This Row],[Üretilen Değer (Sap Verisi)]]</f>
        <v>1574.65</v>
      </c>
      <c r="O115" s="240">
        <f>SUMIFS(Tablo2[Temmuz],Tablo2[BÖLÜM],Tablo142[[#This Row],[Bölüm]])/60</f>
        <v>0</v>
      </c>
      <c r="P115" s="241">
        <f>AC115+O115+Tablo142[[#This Row],[Ödünç İşçilik]]</f>
        <v>1574.65</v>
      </c>
      <c r="Q115" s="241">
        <f t="shared" si="25"/>
        <v>1170.8499999999999</v>
      </c>
      <c r="R115" s="485">
        <v>14</v>
      </c>
      <c r="S115" s="242">
        <v>4</v>
      </c>
      <c r="T115" s="242">
        <v>2921</v>
      </c>
      <c r="U115" s="242">
        <v>869</v>
      </c>
      <c r="V115" s="243">
        <v>175.5</v>
      </c>
      <c r="W115" s="242">
        <v>37</v>
      </c>
      <c r="X115" s="319"/>
      <c r="Y115" s="242">
        <v>2134.5</v>
      </c>
      <c r="Z115" s="242">
        <v>623</v>
      </c>
      <c r="AA115" s="242">
        <v>611</v>
      </c>
      <c r="AB115" s="242">
        <v>209</v>
      </c>
      <c r="AC115" s="486">
        <f>Sayfa1!Q684</f>
        <v>1574.65</v>
      </c>
    </row>
    <row r="116" spans="2:29" ht="19.95" customHeight="1" x14ac:dyDescent="0.3">
      <c r="B116" s="229" t="s">
        <v>115</v>
      </c>
      <c r="C116" s="25" t="s">
        <v>4</v>
      </c>
      <c r="D116" s="26" t="s">
        <v>108</v>
      </c>
      <c r="E116" s="27" t="s">
        <v>5</v>
      </c>
      <c r="F116" s="488">
        <f>Tablo142[[#This Row],[Verimlilik
%]]+Tablo142[[#This Row],[Net İşçilik Kapasite Kaybı %]]</f>
        <v>69.113052189975264</v>
      </c>
      <c r="G116" s="43">
        <f t="shared" si="32"/>
        <v>67.306283460129606</v>
      </c>
      <c r="H116" s="43">
        <f>Tablo142[[#This Row],[Duruş]]/Tablo142[[#This Row],[Net Kapasite Direkt]]*100</f>
        <v>1.806768729845653</v>
      </c>
      <c r="I116" s="43">
        <f>(Tablo142[[#This Row],[Net Kapasite Direkt]]-Tablo142[[#This Row],[Toplam Girilen İşçilik]])/Tablo142[[#This Row],[Net Kapasite Direkt]]*100</f>
        <v>30.886947810024729</v>
      </c>
      <c r="J116" s="28">
        <f t="shared" si="22"/>
        <v>11.476700251889168</v>
      </c>
      <c r="K116" s="29">
        <f t="shared" si="23"/>
        <v>5323.5</v>
      </c>
      <c r="L116" s="29">
        <f t="shared" si="23"/>
        <v>299.5</v>
      </c>
      <c r="M116" s="30">
        <f t="shared" si="24"/>
        <v>27.332427536231883</v>
      </c>
      <c r="N116" s="30">
        <f>Tablo142[[#This Row],[Ödünç İşçilik]]+Tablo142[[#This Row],[Üretilen Değer (Sap Verisi)]]</f>
        <v>3583.05</v>
      </c>
      <c r="O116" s="61">
        <f>SUMIFS(Tablo2[Ağustos],Tablo2[BÖLÜM],Tablo142[[#This Row],[Bölüm]])/60</f>
        <v>96.183333333333337</v>
      </c>
      <c r="P116" s="31">
        <f>AC116+O116+Tablo142[[#This Row],[Ödünç İşçilik]]</f>
        <v>3679.2333333333336</v>
      </c>
      <c r="Q116" s="31">
        <f t="shared" si="25"/>
        <v>1644.2666666666664</v>
      </c>
      <c r="R116" s="483">
        <v>26</v>
      </c>
      <c r="S116" s="483">
        <v>2</v>
      </c>
      <c r="T116" s="483">
        <v>5919</v>
      </c>
      <c r="U116" s="483">
        <v>433</v>
      </c>
      <c r="V116" s="483">
        <v>595.5</v>
      </c>
      <c r="W116" s="483">
        <v>133.5</v>
      </c>
      <c r="X116" s="462"/>
      <c r="Y116" s="483">
        <v>4174.5</v>
      </c>
      <c r="Z116" s="483">
        <v>241.5</v>
      </c>
      <c r="AA116" s="483">
        <v>1149</v>
      </c>
      <c r="AB116" s="483">
        <v>58</v>
      </c>
      <c r="AC116" s="483">
        <f>Sayfa1!S759</f>
        <v>3583.05</v>
      </c>
    </row>
    <row r="117" spans="2:29" ht="19.95" customHeight="1" x14ac:dyDescent="0.3">
      <c r="B117" s="229" t="s">
        <v>115</v>
      </c>
      <c r="C117" s="25" t="s">
        <v>4</v>
      </c>
      <c r="D117" s="26" t="s">
        <v>108</v>
      </c>
      <c r="E117" s="27" t="s">
        <v>46</v>
      </c>
      <c r="F117" s="488">
        <f>Tablo142[[#This Row],[Verimlilik
%]]+Tablo142[[#This Row],[Net İşçilik Kapasite Kaybı %]]</f>
        <v>80.913509135091346</v>
      </c>
      <c r="G117" s="43">
        <f t="shared" si="32"/>
        <v>77.451474514745144</v>
      </c>
      <c r="H117" s="43">
        <f>Tablo142[[#This Row],[Duruş]]/Tablo142[[#This Row],[Net Kapasite Direkt]]*100</f>
        <v>3.4620346203462034</v>
      </c>
      <c r="I117" s="43">
        <f>(Tablo142[[#This Row],[Net Kapasite Direkt]]-Tablo142[[#This Row],[Toplam Girilen İşçilik]])/Tablo142[[#This Row],[Net Kapasite Direkt]]*100</f>
        <v>19.086490864908654</v>
      </c>
      <c r="J117" s="28">
        <f t="shared" si="22"/>
        <v>5.9972445092795201</v>
      </c>
      <c r="K117" s="29">
        <f t="shared" si="23"/>
        <v>5555.5</v>
      </c>
      <c r="L117" s="29">
        <f t="shared" si="23"/>
        <v>244</v>
      </c>
      <c r="M117" s="30">
        <f t="shared" si="24"/>
        <v>35.534883720930232</v>
      </c>
      <c r="N117" s="30">
        <f>Tablo142[[#This Row],[Ödünç İşçilik]]+Tablo142[[#This Row],[Üretilen Değer (Sap Verisi)]]</f>
        <v>4302.8166666666666</v>
      </c>
      <c r="O117" s="61">
        <f>SUMIFS(Tablo2[Ağustos],Tablo2[BÖLÜM],Tablo142[[#This Row],[Bölüm]])/60</f>
        <v>192.33333333333334</v>
      </c>
      <c r="P117" s="31">
        <f>AC117+O117+Tablo142[[#This Row],[Ödünç İşçilik]]</f>
        <v>4495.1499999999996</v>
      </c>
      <c r="Q117" s="31">
        <f t="shared" si="25"/>
        <v>1060.3500000000004</v>
      </c>
      <c r="R117" s="364">
        <v>23</v>
      </c>
      <c r="S117" s="364">
        <v>1</v>
      </c>
      <c r="T117" s="364">
        <f>5207+700</f>
        <v>5907</v>
      </c>
      <c r="U117" s="364">
        <v>262.5</v>
      </c>
      <c r="V117" s="364">
        <v>351.5</v>
      </c>
      <c r="W117" s="364">
        <v>18.5</v>
      </c>
      <c r="X117" s="363"/>
      <c r="Y117" s="364">
        <v>3593.5</v>
      </c>
      <c r="Z117" s="364">
        <v>169</v>
      </c>
      <c r="AA117" s="364">
        <v>1262</v>
      </c>
      <c r="AB117" s="364">
        <v>75</v>
      </c>
      <c r="AC117" s="364">
        <f>Sayfa1!S760</f>
        <v>4302.8166666666666</v>
      </c>
    </row>
    <row r="118" spans="2:29" ht="19.95" customHeight="1" x14ac:dyDescent="0.3">
      <c r="B118" s="229" t="s">
        <v>115</v>
      </c>
      <c r="C118" s="25" t="s">
        <v>4</v>
      </c>
      <c r="D118" s="26" t="s">
        <v>108</v>
      </c>
      <c r="E118" s="27" t="s">
        <v>13</v>
      </c>
      <c r="F118" s="488">
        <f>Tablo142[[#This Row],[Verimlilik
%]]+Tablo142[[#This Row],[Net İşçilik Kapasite Kaybı %]]</f>
        <v>71.779934527248216</v>
      </c>
      <c r="G118" s="43">
        <f t="shared" si="32"/>
        <v>64.351665703832083</v>
      </c>
      <c r="H118" s="43">
        <f>Tablo142[[#This Row],[Duruş]]/Tablo142[[#This Row],[Net Kapasite Direkt]]*100</f>
        <v>7.4282688234161371</v>
      </c>
      <c r="I118" s="43">
        <f>(Tablo142[[#This Row],[Net Kapasite Direkt]]-Tablo142[[#This Row],[Toplam Girilen İşçilik]])/Tablo142[[#This Row],[Net Kapasite Direkt]]*100</f>
        <v>28.220065472751788</v>
      </c>
      <c r="J118" s="28">
        <f t="shared" si="22"/>
        <v>16.684288433072531</v>
      </c>
      <c r="K118" s="29">
        <f t="shared" si="23"/>
        <v>3462</v>
      </c>
      <c r="L118" s="29">
        <f t="shared" si="23"/>
        <v>478</v>
      </c>
      <c r="M118" s="30">
        <f t="shared" si="24"/>
        <v>33.679055027369635</v>
      </c>
      <c r="N118" s="30">
        <f>Tablo142[[#This Row],[Ödünç İşçilik]]+Tablo142[[#This Row],[Üretilen Değer (Sap Verisi)]]</f>
        <v>2227.8546666666666</v>
      </c>
      <c r="O118" s="61">
        <f>SUMIFS(Tablo2[Ağustos],Tablo2[BÖLÜM],Tablo142[[#This Row],[Bölüm]])/60</f>
        <v>257.16666666666669</v>
      </c>
      <c r="P118" s="31">
        <f>AC118+O118+Tablo142[[#This Row],[Ödünç İşçilik]]</f>
        <v>2485.0213333333331</v>
      </c>
      <c r="Q118" s="31">
        <f t="shared" si="25"/>
        <v>976.97866666666687</v>
      </c>
      <c r="R118" s="364">
        <v>21</v>
      </c>
      <c r="S118" s="364">
        <v>2</v>
      </c>
      <c r="T118" s="364">
        <f>4878.5-700</f>
        <v>4178.5</v>
      </c>
      <c r="U118" s="364">
        <v>550.5</v>
      </c>
      <c r="V118" s="364">
        <v>716.5</v>
      </c>
      <c r="W118" s="364">
        <v>72.5</v>
      </c>
      <c r="X118" s="363"/>
      <c r="Y118" s="364">
        <v>3168.5</v>
      </c>
      <c r="Z118" s="364">
        <v>302.5</v>
      </c>
      <c r="AA118" s="364">
        <v>993.5</v>
      </c>
      <c r="AB118" s="364">
        <v>175.5</v>
      </c>
      <c r="AC118" s="364">
        <f>Sayfa1!S761</f>
        <v>2227.8546666666666</v>
      </c>
    </row>
    <row r="119" spans="2:29" ht="19.95" customHeight="1" x14ac:dyDescent="0.3">
      <c r="B119" s="229" t="s">
        <v>115</v>
      </c>
      <c r="C119" s="25" t="s">
        <v>4</v>
      </c>
      <c r="D119" s="26" t="s">
        <v>108</v>
      </c>
      <c r="E119" s="27" t="s">
        <v>9</v>
      </c>
      <c r="F119" s="488">
        <f>Tablo142[[#This Row],[Verimlilik
%]]+Tablo142[[#This Row],[Net İşçilik Kapasite Kaybı %]]</f>
        <v>66.538242688897711</v>
      </c>
      <c r="G119" s="43">
        <f t="shared" si="32"/>
        <v>50.759494508402803</v>
      </c>
      <c r="H119" s="43">
        <f>Tablo142[[#This Row],[Duruş]]/Tablo142[[#This Row],[Net Kapasite Direkt]]*100</f>
        <v>15.778748180494903</v>
      </c>
      <c r="I119" s="43">
        <f>(Tablo142[[#This Row],[Net Kapasite Direkt]]-Tablo142[[#This Row],[Toplam Girilen İşçilik]])/Tablo142[[#This Row],[Net Kapasite Direkt]]*100</f>
        <v>33.461757311102289</v>
      </c>
      <c r="J119" s="28">
        <f t="shared" si="22"/>
        <v>5.7084035186224966</v>
      </c>
      <c r="K119" s="29">
        <f t="shared" si="23"/>
        <v>2519</v>
      </c>
      <c r="L119" s="29">
        <f t="shared" si="23"/>
        <v>0</v>
      </c>
      <c r="M119" s="30">
        <f t="shared" si="24"/>
        <v>31.884816753926703</v>
      </c>
      <c r="N119" s="30">
        <f>Tablo142[[#This Row],[Ödünç İşçilik]]+Tablo142[[#This Row],[Üretilen Değer (Sap Verisi)]]</f>
        <v>1278.6316666666667</v>
      </c>
      <c r="O119" s="61">
        <f>SUMIFS(Tablo2[Ağustos],Tablo2[BÖLÜM],Tablo142[[#This Row],[Bölüm]])/60</f>
        <v>397.46666666666664</v>
      </c>
      <c r="P119" s="31">
        <f>AC119+O119+Tablo142[[#This Row],[Ödünç İşçilik]]</f>
        <v>1676.0983333333334</v>
      </c>
      <c r="Q119" s="31">
        <f t="shared" si="25"/>
        <v>842.90166666666664</v>
      </c>
      <c r="R119" s="364">
        <v>11</v>
      </c>
      <c r="S119" s="364"/>
      <c r="T119" s="364">
        <v>2671.5</v>
      </c>
      <c r="U119" s="364"/>
      <c r="V119" s="364">
        <v>152.5</v>
      </c>
      <c r="W119" s="364"/>
      <c r="X119" s="363"/>
      <c r="Y119" s="364">
        <v>1910</v>
      </c>
      <c r="Z119" s="364"/>
      <c r="AA119" s="364">
        <v>609</v>
      </c>
      <c r="AB119" s="364"/>
      <c r="AC119" s="364">
        <f>Sayfa1!S762</f>
        <v>1278.6316666666667</v>
      </c>
    </row>
    <row r="120" spans="2:29" ht="30" customHeight="1" x14ac:dyDescent="0.3">
      <c r="B120" s="229" t="s">
        <v>115</v>
      </c>
      <c r="C120" s="25" t="s">
        <v>1011</v>
      </c>
      <c r="D120" s="26" t="s">
        <v>108</v>
      </c>
      <c r="E120" s="27" t="s">
        <v>1070</v>
      </c>
      <c r="F120" s="488">
        <f>Tablo142[[#This Row],[Verimlilik
%]]+Tablo142[[#This Row],[Net İşçilik Kapasite Kaybı %]]</f>
        <v>68.451802561699495</v>
      </c>
      <c r="G120" s="43">
        <f t="shared" si="32"/>
        <v>68.451802561699495</v>
      </c>
      <c r="H120" s="43">
        <f>Tablo142[[#This Row],[Duruş]]/Tablo142[[#This Row],[Net Kapasite Direkt]]*100</f>
        <v>0</v>
      </c>
      <c r="I120" s="43">
        <f>(Tablo142[[#This Row],[Net Kapasite Direkt]]-Tablo142[[#This Row],[Toplam Girilen İşçilik]])/Tablo142[[#This Row],[Net Kapasite Direkt]]*100</f>
        <v>31.548197438300505</v>
      </c>
      <c r="J120" s="28">
        <f t="shared" si="22"/>
        <v>12.827899924184988</v>
      </c>
      <c r="K120" s="29">
        <f t="shared" si="23"/>
        <v>2667.5</v>
      </c>
      <c r="L120" s="29">
        <f t="shared" si="23"/>
        <v>207</v>
      </c>
      <c r="M120" s="30">
        <f t="shared" si="24"/>
        <v>28.785842293906811</v>
      </c>
      <c r="N120" s="30">
        <f>Tablo142[[#This Row],[Ödünç İşçilik]]+Tablo142[[#This Row],[Üretilen Değer (Sap Verisi)]]</f>
        <v>1825.951833333334</v>
      </c>
      <c r="O120" s="61">
        <f>SUMIFS(Tablo2[Ağustos],Tablo2[BÖLÜM],Tablo142[[#This Row],[Bölüm]])/60</f>
        <v>0</v>
      </c>
      <c r="P120" s="31">
        <f>AC120+O120+Tablo142[[#This Row],[Ödünç İşçilik]]</f>
        <v>1825.951833333334</v>
      </c>
      <c r="Q120" s="31">
        <f t="shared" si="25"/>
        <v>841.54816666666602</v>
      </c>
      <c r="R120" s="364">
        <f>4+5+4</f>
        <v>13</v>
      </c>
      <c r="S120" s="364">
        <v>1</v>
      </c>
      <c r="T120" s="364">
        <f>896+1252.5+924</f>
        <v>3072.5</v>
      </c>
      <c r="U120" s="364">
        <v>225</v>
      </c>
      <c r="V120" s="364">
        <f>112.5+58+234.5</f>
        <v>405</v>
      </c>
      <c r="W120" s="364">
        <v>18</v>
      </c>
      <c r="X120" s="363"/>
      <c r="Y120" s="364">
        <f>637.5+879.5+545.5</f>
        <v>2062.5</v>
      </c>
      <c r="Z120" s="364">
        <v>169.5</v>
      </c>
      <c r="AA120" s="364">
        <f>146+315+144</f>
        <v>605</v>
      </c>
      <c r="AB120" s="364">
        <v>37.5</v>
      </c>
      <c r="AC120" s="432">
        <f>Sayfa1!S774+Sayfa1!S775+Sayfa1!S776</f>
        <v>1825.951833333334</v>
      </c>
    </row>
    <row r="121" spans="2:29" ht="19.95" customHeight="1" x14ac:dyDescent="0.3">
      <c r="B121" s="229" t="s">
        <v>115</v>
      </c>
      <c r="C121" s="25" t="s">
        <v>1011</v>
      </c>
      <c r="D121" s="26" t="s">
        <v>108</v>
      </c>
      <c r="E121" s="27" t="s">
        <v>1014</v>
      </c>
      <c r="F121" s="488">
        <f>Tablo142[[#This Row],[Verimlilik
%]]+Tablo142[[#This Row],[Net İşçilik Kapasite Kaybı %]]</f>
        <v>104.64611898483851</v>
      </c>
      <c r="G121" s="43">
        <f t="shared" si="32"/>
        <v>97.927540650406513</v>
      </c>
      <c r="H121" s="43">
        <f>Tablo142[[#This Row],[Duruş]]/Tablo142[[#This Row],[Net Kapasite Direkt]]*100</f>
        <v>6.7185783344319931</v>
      </c>
      <c r="I121" s="43">
        <f>(Tablo142[[#This Row],[Net Kapasite Direkt]]-Tablo142[[#This Row],[Toplam Girilen İşçilik]])/Tablo142[[#This Row],[Net Kapasite Direkt]]*100</f>
        <v>-4.6461189848385054</v>
      </c>
      <c r="J121" s="28">
        <f t="shared" si="22"/>
        <v>10.197609172969017</v>
      </c>
      <c r="K121" s="29">
        <f t="shared" si="23"/>
        <v>6068</v>
      </c>
      <c r="L121" s="29">
        <f t="shared" si="23"/>
        <v>1294</v>
      </c>
      <c r="M121" s="30">
        <f t="shared" si="24"/>
        <v>39.922075453767938</v>
      </c>
      <c r="N121" s="30">
        <f>Tablo142[[#This Row],[Ödünç İşçilik]]+Tablo142[[#This Row],[Üretilen Değer (Sap Verisi)]]</f>
        <v>5942.2431666666671</v>
      </c>
      <c r="O121" s="61">
        <f>SUMIFS(Tablo2[Ağustos],Tablo2[BÖLÜM],Tablo142[[#This Row],[Bölüm]])/60</f>
        <v>407.68333333333334</v>
      </c>
      <c r="P121" s="31">
        <f>AC121+O121+Tablo142[[#This Row],[Ödünç İşçilik]]</f>
        <v>6349.9265000000005</v>
      </c>
      <c r="Q121" s="31">
        <f t="shared" si="25"/>
        <v>-281.92650000000049</v>
      </c>
      <c r="R121" s="364">
        <v>28</v>
      </c>
      <c r="S121" s="364">
        <v>5</v>
      </c>
      <c r="T121" s="364">
        <v>6850</v>
      </c>
      <c r="U121" s="364">
        <v>1348</v>
      </c>
      <c r="V121" s="364">
        <v>782</v>
      </c>
      <c r="W121" s="364">
        <v>54</v>
      </c>
      <c r="X121" s="363">
        <f>22585/60</f>
        <v>376.41666666666669</v>
      </c>
      <c r="Y121" s="364">
        <v>4378</v>
      </c>
      <c r="Z121" s="364">
        <v>883.5</v>
      </c>
      <c r="AA121" s="364">
        <v>1690</v>
      </c>
      <c r="AB121" s="364">
        <v>410.5</v>
      </c>
      <c r="AC121" s="432">
        <f>Sayfa1!S780</f>
        <v>5565.8265000000001</v>
      </c>
    </row>
    <row r="122" spans="2:29" ht="19.95" customHeight="1" x14ac:dyDescent="0.3">
      <c r="B122" s="229" t="s">
        <v>115</v>
      </c>
      <c r="C122" s="25" t="s">
        <v>1011</v>
      </c>
      <c r="D122" s="26" t="s">
        <v>108</v>
      </c>
      <c r="E122" s="27" t="s">
        <v>26</v>
      </c>
      <c r="F122" s="488">
        <f>Tablo142[[#This Row],[Verimlilik
%]]+Tablo142[[#This Row],[Net İşçilik Kapasite Kaybı %]]</f>
        <v>54.850277153558068</v>
      </c>
      <c r="G122" s="43">
        <f t="shared" si="32"/>
        <v>46.102711610486907</v>
      </c>
      <c r="H122" s="43">
        <f>Tablo142[[#This Row],[Duruş]]/Tablo142[[#This Row],[Net Kapasite Direkt]]*100</f>
        <v>8.7475655430711612</v>
      </c>
      <c r="I122" s="43">
        <f>(Tablo142[[#This Row],[Net Kapasite Direkt]]-Tablo142[[#This Row],[Toplam Girilen İşçilik]])/Tablo142[[#This Row],[Net Kapasite Direkt]]*100</f>
        <v>45.149722846441939</v>
      </c>
      <c r="J122" s="28">
        <f t="shared" si="22"/>
        <v>5.399659863945578</v>
      </c>
      <c r="K122" s="29">
        <f t="shared" si="23"/>
        <v>2225</v>
      </c>
      <c r="L122" s="29">
        <f t="shared" si="23"/>
        <v>0</v>
      </c>
      <c r="M122" s="30">
        <f t="shared" si="24"/>
        <v>27.288329519450798</v>
      </c>
      <c r="N122" s="30">
        <f>Tablo142[[#This Row],[Ödünç İşçilik]]+Tablo142[[#This Row],[Üretilen Değer (Sap Verisi)]]</f>
        <v>1025.7853333333337</v>
      </c>
      <c r="O122" s="61">
        <f>SUMIFS(Tablo2[Ağustos],Tablo2[BÖLÜM],Tablo142[[#This Row],[Bölüm]])/60</f>
        <v>194.63333333333333</v>
      </c>
      <c r="P122" s="31">
        <f>AC122+O122+Tablo142[[#This Row],[Ödünç İşçilik]]</f>
        <v>1220.4186666666669</v>
      </c>
      <c r="Q122" s="31">
        <f t="shared" si="25"/>
        <v>1004.5813333333331</v>
      </c>
      <c r="R122" s="364">
        <v>10</v>
      </c>
      <c r="S122" s="364"/>
      <c r="T122" s="364">
        <v>2352</v>
      </c>
      <c r="U122" s="364"/>
      <c r="V122" s="364">
        <v>127</v>
      </c>
      <c r="W122" s="364"/>
      <c r="X122" s="363"/>
      <c r="Y122" s="364">
        <v>1748</v>
      </c>
      <c r="Z122" s="364"/>
      <c r="AA122" s="364">
        <v>477</v>
      </c>
      <c r="AB122" s="364"/>
      <c r="AC122" s="432">
        <f>Sayfa1!S781</f>
        <v>1025.7853333333337</v>
      </c>
    </row>
    <row r="123" spans="2:29" ht="19.95" customHeight="1" x14ac:dyDescent="0.3">
      <c r="B123" s="229" t="s">
        <v>115</v>
      </c>
      <c r="C123" s="25" t="s">
        <v>4</v>
      </c>
      <c r="D123" s="26" t="s">
        <v>108</v>
      </c>
      <c r="E123" s="27" t="s">
        <v>17</v>
      </c>
      <c r="F123" s="488">
        <f>Tablo142[[#This Row],[Verimlilik
%]]+Tablo142[[#This Row],[Net İşçilik Kapasite Kaybı %]]</f>
        <v>57.393957603071286</v>
      </c>
      <c r="G123" s="43">
        <f t="shared" si="32"/>
        <v>57.393957603071286</v>
      </c>
      <c r="H123" s="43">
        <f>Tablo142[[#This Row],[Duruş]]/Tablo142[[#This Row],[Net Kapasite Direkt]]*100</f>
        <v>0</v>
      </c>
      <c r="I123" s="43">
        <f>(Tablo142[[#This Row],[Net Kapasite Direkt]]-Tablo142[[#This Row],[Toplam Girilen İşçilik]])/Tablo142[[#This Row],[Net Kapasite Direkt]]*100</f>
        <v>42.606042396928707</v>
      </c>
      <c r="J123" s="28">
        <f t="shared" si="22"/>
        <v>12.787907869481765</v>
      </c>
      <c r="K123" s="29">
        <f t="shared" si="23"/>
        <v>2995.5</v>
      </c>
      <c r="L123" s="29">
        <f t="shared" si="23"/>
        <v>639.5</v>
      </c>
      <c r="M123" s="30">
        <f t="shared" si="24"/>
        <v>36.937276323224708</v>
      </c>
      <c r="N123" s="30">
        <f>Tablo142[[#This Row],[Ödünç İşçilik]]+Tablo142[[#This Row],[Üretilen Değer (Sap Verisi)]]</f>
        <v>1719.2360000000006</v>
      </c>
      <c r="O123" s="61">
        <f>SUMIFS(Tablo2[Ağustos],Tablo2[BÖLÜM],Tablo142[[#This Row],[Bölüm]])/60</f>
        <v>0</v>
      </c>
      <c r="P123" s="31">
        <f>AC123+O123+Tablo142[[#This Row],[Ödünç İşçilik]]</f>
        <v>1719.2360000000006</v>
      </c>
      <c r="Q123" s="31">
        <f t="shared" si="25"/>
        <v>1276.2639999999994</v>
      </c>
      <c r="R123" s="364">
        <v>14</v>
      </c>
      <c r="S123" s="364">
        <v>3</v>
      </c>
      <c r="T123" s="364">
        <v>3443</v>
      </c>
      <c r="U123" s="364">
        <v>725</v>
      </c>
      <c r="V123" s="364">
        <v>447.5</v>
      </c>
      <c r="W123" s="364">
        <v>85.5</v>
      </c>
      <c r="X123" s="363"/>
      <c r="Y123" s="364">
        <v>2177.5</v>
      </c>
      <c r="Z123" s="364">
        <v>477</v>
      </c>
      <c r="AA123" s="364">
        <v>818</v>
      </c>
      <c r="AB123" s="364">
        <v>162.5</v>
      </c>
      <c r="AC123" s="432">
        <f>Sayfa1!S782</f>
        <v>1719.2360000000006</v>
      </c>
    </row>
    <row r="124" spans="2:29" ht="19.95" customHeight="1" x14ac:dyDescent="0.3">
      <c r="B124" s="229" t="s">
        <v>115</v>
      </c>
      <c r="C124" s="25" t="s">
        <v>4</v>
      </c>
      <c r="D124" s="26" t="s">
        <v>108</v>
      </c>
      <c r="E124" s="27" t="s">
        <v>29</v>
      </c>
      <c r="F124" s="488">
        <f>Tablo142[[#This Row],[Verimlilik
%]]+Tablo142[[#This Row],[Net İşçilik Kapasite Kaybı %]]</f>
        <v>73.078399098083452</v>
      </c>
      <c r="G124" s="43">
        <f t="shared" si="32"/>
        <v>73.078399098083452</v>
      </c>
      <c r="H124" s="43">
        <f>Tablo142[[#This Row],[Duruş]]/Tablo142[[#This Row],[Net Kapasite Direkt]]*100</f>
        <v>0</v>
      </c>
      <c r="I124" s="43">
        <f>(Tablo142[[#This Row],[Net Kapasite Direkt]]-Tablo142[[#This Row],[Toplam Girilen İşçilik]])/Tablo142[[#This Row],[Net Kapasite Direkt]]*100</f>
        <v>26.921600901916541</v>
      </c>
      <c r="J124" s="28">
        <f t="shared" si="22"/>
        <v>6.0264769808338272</v>
      </c>
      <c r="K124" s="29">
        <f t="shared" si="23"/>
        <v>1774</v>
      </c>
      <c r="L124" s="29">
        <f t="shared" si="23"/>
        <v>604</v>
      </c>
      <c r="M124" s="30">
        <f t="shared" si="24"/>
        <v>47.701863354037265</v>
      </c>
      <c r="N124" s="30">
        <f>Tablo142[[#This Row],[Ödünç İşçilik]]+Tablo142[[#This Row],[Üretilen Değer (Sap Verisi)]]</f>
        <v>1296.4108000000006</v>
      </c>
      <c r="O124" s="61">
        <f>SUMIFS(Tablo2[Ağustos],Tablo2[BÖLÜM],Tablo142[[#This Row],[Bölüm]])/60</f>
        <v>0</v>
      </c>
      <c r="P124" s="31">
        <f>AC124+O124+Tablo142[[#This Row],[Ödünç İşçilik]]</f>
        <v>1296.4108000000006</v>
      </c>
      <c r="Q124" s="31">
        <f t="shared" si="25"/>
        <v>477.58919999999944</v>
      </c>
      <c r="R124" s="364">
        <v>8</v>
      </c>
      <c r="S124" s="364">
        <v>2</v>
      </c>
      <c r="T124" s="364">
        <v>1920.5</v>
      </c>
      <c r="U124" s="364">
        <v>610</v>
      </c>
      <c r="V124" s="364">
        <v>146.5</v>
      </c>
      <c r="W124" s="364">
        <v>6</v>
      </c>
      <c r="X124" s="363"/>
      <c r="Y124" s="364">
        <v>1241</v>
      </c>
      <c r="Z124" s="364">
        <v>369</v>
      </c>
      <c r="AA124" s="364">
        <v>533</v>
      </c>
      <c r="AB124" s="364">
        <v>235</v>
      </c>
      <c r="AC124" s="432">
        <f>Sayfa1!S783</f>
        <v>1296.4108000000006</v>
      </c>
    </row>
    <row r="125" spans="2:29" ht="19.95" customHeight="1" x14ac:dyDescent="0.3">
      <c r="B125" s="229" t="s">
        <v>115</v>
      </c>
      <c r="C125" s="25" t="s">
        <v>4</v>
      </c>
      <c r="D125" s="26" t="s">
        <v>108</v>
      </c>
      <c r="E125" s="27" t="s">
        <v>43</v>
      </c>
      <c r="F125" s="488">
        <f>Tablo142[[#This Row],[Verimlilik
%]]+Tablo142[[#This Row],[Net İşçilik Kapasite Kaybı %]]</f>
        <v>65.805974000198432</v>
      </c>
      <c r="G125" s="43">
        <f t="shared" si="32"/>
        <v>65.805974000198432</v>
      </c>
      <c r="H125" s="43">
        <f>Tablo142[[#This Row],[Duruş]]/Tablo142[[#This Row],[Net Kapasite Direkt]]*100</f>
        <v>0</v>
      </c>
      <c r="I125" s="43">
        <f>(Tablo142[[#This Row],[Net Kapasite Direkt]]-Tablo142[[#This Row],[Toplam Girilen İşçilik]])/Tablo142[[#This Row],[Net Kapasite Direkt]]*100</f>
        <v>34.194025999801561</v>
      </c>
      <c r="J125" s="28">
        <f t="shared" si="22"/>
        <v>6.6145777587498662</v>
      </c>
      <c r="K125" s="29">
        <f t="shared" si="23"/>
        <v>3359</v>
      </c>
      <c r="L125" s="29">
        <f t="shared" si="23"/>
        <v>1003.5</v>
      </c>
      <c r="M125" s="30">
        <f t="shared" si="24"/>
        <v>29.894298049724576</v>
      </c>
      <c r="N125" s="30">
        <f>Tablo142[[#This Row],[Ödünç İşçilik]]+Tablo142[[#This Row],[Üretilen Değer (Sap Verisi)]]</f>
        <v>2210.4226666666655</v>
      </c>
      <c r="O125" s="61">
        <f>SUMIFS(Tablo2[Ağustos],Tablo2[BÖLÜM],Tablo142[[#This Row],[Bölüm]])/60</f>
        <v>0</v>
      </c>
      <c r="P125" s="31">
        <f>AC125+O125+Tablo142[[#This Row],[Ödünç İşçilik]]</f>
        <v>2210.4226666666655</v>
      </c>
      <c r="Q125" s="31">
        <f t="shared" si="25"/>
        <v>1148.5773333333345</v>
      </c>
      <c r="R125" s="364">
        <v>17</v>
      </c>
      <c r="S125" s="364">
        <v>4</v>
      </c>
      <c r="T125" s="364">
        <v>3655.5</v>
      </c>
      <c r="U125" s="364">
        <v>1016</v>
      </c>
      <c r="V125" s="364">
        <v>296.5</v>
      </c>
      <c r="W125" s="364">
        <v>12.5</v>
      </c>
      <c r="X125" s="363"/>
      <c r="Y125" s="364">
        <v>2621</v>
      </c>
      <c r="Z125" s="364">
        <v>737.5</v>
      </c>
      <c r="AA125" s="364">
        <v>738</v>
      </c>
      <c r="AB125" s="364">
        <v>266</v>
      </c>
      <c r="AC125" s="388">
        <f>Sayfa1!S786</f>
        <v>2210.4226666666655</v>
      </c>
    </row>
    <row r="126" spans="2:29" ht="19.95" customHeight="1" x14ac:dyDescent="0.3">
      <c r="B126" s="229" t="s">
        <v>115</v>
      </c>
      <c r="C126" s="25" t="s">
        <v>1011</v>
      </c>
      <c r="D126" s="26" t="s">
        <v>108</v>
      </c>
      <c r="E126" s="27" t="s">
        <v>19</v>
      </c>
      <c r="F126" s="488">
        <f>Tablo142[[#This Row],[Verimlilik
%]]+Tablo142[[#This Row],[Net İşçilik Kapasite Kaybı %]]</f>
        <v>80.485455984800566</v>
      </c>
      <c r="G126" s="43">
        <f t="shared" si="32"/>
        <v>64.451046020688253</v>
      </c>
      <c r="H126" s="43">
        <f>Tablo142[[#This Row],[Duruş]]/Tablo142[[#This Row],[Net Kapasite Direkt]]*100</f>
        <v>16.03440996411231</v>
      </c>
      <c r="I126" s="43">
        <f>(Tablo142[[#This Row],[Net Kapasite Direkt]]-Tablo142[[#This Row],[Toplam Girilen İşçilik]])/Tablo142[[#This Row],[Net Kapasite Direkt]]*100</f>
        <v>19.514544015199434</v>
      </c>
      <c r="J126" s="28">
        <f t="shared" si="22"/>
        <v>9.4954073720625072</v>
      </c>
      <c r="K126" s="29">
        <f t="shared" si="23"/>
        <v>3158</v>
      </c>
      <c r="L126" s="29">
        <f t="shared" si="23"/>
        <v>635.5</v>
      </c>
      <c r="M126" s="30">
        <f t="shared" si="24"/>
        <v>17.920422754118746</v>
      </c>
      <c r="N126" s="30">
        <f>Tablo142[[#This Row],[Ödünç İşçilik]]+Tablo142[[#This Row],[Üretilen Değer (Sap Verisi)]]</f>
        <v>2035.3640333333351</v>
      </c>
      <c r="O126" s="61">
        <f>SUMIFS(Tablo2[Ağustos],Tablo2[BÖLÜM],Tablo142[[#This Row],[Bölüm]])/60</f>
        <v>506.36666666666667</v>
      </c>
      <c r="P126" s="31">
        <f>AC126+O126+Tablo142[[#This Row],[Ödünç İşçilik]]</f>
        <v>2541.7307000000019</v>
      </c>
      <c r="Q126" s="31">
        <f t="shared" si="25"/>
        <v>616.26929999999811</v>
      </c>
      <c r="R126" s="364">
        <v>17</v>
      </c>
      <c r="S126" s="364">
        <v>3</v>
      </c>
      <c r="T126" s="364">
        <v>3519.5</v>
      </c>
      <c r="U126" s="364">
        <v>672</v>
      </c>
      <c r="V126" s="364">
        <v>361.5</v>
      </c>
      <c r="W126" s="364">
        <v>36.5</v>
      </c>
      <c r="X126" s="363"/>
      <c r="Y126" s="364">
        <v>2691</v>
      </c>
      <c r="Z126" s="364">
        <v>526</v>
      </c>
      <c r="AA126" s="364">
        <v>467</v>
      </c>
      <c r="AB126" s="364">
        <v>109.5</v>
      </c>
      <c r="AC126" s="388">
        <f>Sayfa1!S787</f>
        <v>2035.3640333333351</v>
      </c>
    </row>
    <row r="127" spans="2:29" ht="19.95" customHeight="1" x14ac:dyDescent="0.3">
      <c r="B127" s="229" t="s">
        <v>115</v>
      </c>
      <c r="C127" s="25" t="s">
        <v>4</v>
      </c>
      <c r="D127" s="26" t="s">
        <v>25</v>
      </c>
      <c r="E127" s="27" t="s">
        <v>40</v>
      </c>
      <c r="F127" s="488">
        <f>Tablo142[[#This Row],[Verimlilik
%]]+Tablo142[[#This Row],[Net İşçilik Kapasite Kaybı %]]</f>
        <v>66.977199814557238</v>
      </c>
      <c r="G127" s="43">
        <f t="shared" si="32"/>
        <v>66.977199814557238</v>
      </c>
      <c r="H127" s="43">
        <f>Tablo142[[#This Row],[Duruş]]/Tablo142[[#This Row],[Net Kapasite Direkt]]*100</f>
        <v>0</v>
      </c>
      <c r="I127" s="43">
        <f>(Tablo142[[#This Row],[Net Kapasite Direkt]]-Tablo142[[#This Row],[Toplam Girilen İşçilik]])/Tablo142[[#This Row],[Net Kapasite Direkt]]*100</f>
        <v>33.022800185442755</v>
      </c>
      <c r="J127" s="28">
        <f t="shared" si="22"/>
        <v>8.9207735495945109</v>
      </c>
      <c r="K127" s="29">
        <f t="shared" si="23"/>
        <v>1797.5</v>
      </c>
      <c r="L127" s="29">
        <f t="shared" si="23"/>
        <v>392.5</v>
      </c>
      <c r="M127" s="30">
        <f t="shared" si="24"/>
        <v>7.5902726602800303</v>
      </c>
      <c r="N127" s="30">
        <f>Tablo142[[#This Row],[Ödünç İşçilik]]+Tablo142[[#This Row],[Üretilen Değer (Sap Verisi)]]</f>
        <v>1203.9151666666664</v>
      </c>
      <c r="O127" s="61">
        <f>SUMIFS(Tablo2[Ağustos],Tablo2[BÖLÜM],Tablo142[[#This Row],[Bölüm]])/60</f>
        <v>0</v>
      </c>
      <c r="P127" s="31">
        <f>AC127+O127+Tablo142[[#This Row],[Ödünç İşçilik]]</f>
        <v>1203.9151666666664</v>
      </c>
      <c r="Q127" s="31">
        <f t="shared" si="25"/>
        <v>593.58483333333356</v>
      </c>
      <c r="R127" s="364">
        <v>10</v>
      </c>
      <c r="S127" s="364">
        <v>2</v>
      </c>
      <c r="T127" s="364">
        <v>2007</v>
      </c>
      <c r="U127" s="364">
        <v>397.5</v>
      </c>
      <c r="V127" s="364">
        <v>209.5</v>
      </c>
      <c r="W127" s="364">
        <v>5</v>
      </c>
      <c r="X127" s="363">
        <f>(13430+7680)/60</f>
        <v>351.83333333333331</v>
      </c>
      <c r="Y127" s="364">
        <v>1665.5</v>
      </c>
      <c r="Z127" s="364">
        <v>370</v>
      </c>
      <c r="AA127" s="364">
        <v>132</v>
      </c>
      <c r="AB127" s="364">
        <v>22.5</v>
      </c>
      <c r="AC127" s="388">
        <f>Sayfa1!S788</f>
        <v>852.08183333333318</v>
      </c>
    </row>
    <row r="128" spans="2:29" ht="19.95" customHeight="1" x14ac:dyDescent="0.3">
      <c r="B128" s="229" t="s">
        <v>115</v>
      </c>
      <c r="C128" s="25" t="s">
        <v>4</v>
      </c>
      <c r="D128" s="26" t="s">
        <v>25</v>
      </c>
      <c r="E128" s="27" t="s">
        <v>35</v>
      </c>
      <c r="F128" s="488">
        <f>Tablo142[[#This Row],[Verimlilik
%]]+Tablo142[[#This Row],[Net İşçilik Kapasite Kaybı %]]</f>
        <v>75.591179509101934</v>
      </c>
      <c r="G128" s="43">
        <f t="shared" si="32"/>
        <v>74.550960065548082</v>
      </c>
      <c r="H128" s="43">
        <f>Tablo142[[#This Row],[Duruş]]/Tablo142[[#This Row],[Net Kapasite Direkt]]*100</f>
        <v>1.0402194435538457</v>
      </c>
      <c r="I128" s="43">
        <f>(Tablo142[[#This Row],[Net Kapasite Direkt]]-Tablo142[[#This Row],[Toplam Girilen İşçilik]])/Tablo142[[#This Row],[Net Kapasite Direkt]]*100</f>
        <v>24.40882049089808</v>
      </c>
      <c r="J128" s="28">
        <f t="shared" si="22"/>
        <v>9.5494174203536222</v>
      </c>
      <c r="K128" s="29">
        <f t="shared" si="23"/>
        <v>4678.5</v>
      </c>
      <c r="L128" s="29">
        <f t="shared" si="23"/>
        <v>872</v>
      </c>
      <c r="M128" s="30">
        <f t="shared" si="24"/>
        <v>24.828516810974925</v>
      </c>
      <c r="N128" s="30">
        <f>Tablo142[[#This Row],[Ödünç İşçilik]]+Tablo142[[#This Row],[Üretilen Değer (Sap Verisi)]]</f>
        <v>3487.8666666666668</v>
      </c>
      <c r="O128" s="61">
        <f>SUMIFS(Tablo2[Ağustos],Tablo2[BÖLÜM],Tablo142[[#This Row],[Bölüm]])/60</f>
        <v>48.666666666666664</v>
      </c>
      <c r="P128" s="31">
        <f>AC128+O128+Tablo142[[#This Row],[Ödünç İşçilik]]</f>
        <v>3536.5333333333333</v>
      </c>
      <c r="Q128" s="31">
        <f t="shared" si="25"/>
        <v>1141.9666666666667</v>
      </c>
      <c r="R128" s="364">
        <v>23</v>
      </c>
      <c r="S128" s="364">
        <v>4</v>
      </c>
      <c r="T128" s="364">
        <v>5209.5</v>
      </c>
      <c r="U128" s="364">
        <v>927</v>
      </c>
      <c r="V128" s="364">
        <v>531</v>
      </c>
      <c r="W128" s="364">
        <v>55</v>
      </c>
      <c r="X128" s="363">
        <f>26250/60</f>
        <v>437.5</v>
      </c>
      <c r="Y128" s="364">
        <v>3751.5</v>
      </c>
      <c r="Z128" s="364">
        <v>695</v>
      </c>
      <c r="AA128" s="364">
        <v>927</v>
      </c>
      <c r="AB128" s="364">
        <v>177</v>
      </c>
      <c r="AC128" s="388">
        <f>Sayfa1!S789</f>
        <v>3050.3666666666668</v>
      </c>
    </row>
    <row r="129" spans="2:29" ht="19.95" customHeight="1" x14ac:dyDescent="0.3">
      <c r="B129" s="229" t="s">
        <v>115</v>
      </c>
      <c r="C129" s="25" t="s">
        <v>4</v>
      </c>
      <c r="D129" s="26" t="s">
        <v>25</v>
      </c>
      <c r="E129" s="27" t="s">
        <v>25</v>
      </c>
      <c r="F129" s="488">
        <f>Tablo142[[#This Row],[Verimlilik
%]]+Tablo142[[#This Row],[Net İşçilik Kapasite Kaybı %]]</f>
        <v>44.999064038486743</v>
      </c>
      <c r="G129" s="43">
        <f t="shared" si="32"/>
        <v>43.474382733382008</v>
      </c>
      <c r="H129" s="43">
        <f>Tablo142[[#This Row],[Duruş]]/Tablo142[[#This Row],[Net Kapasite Direkt]]*100</f>
        <v>1.5246813051047341</v>
      </c>
      <c r="I129" s="43">
        <f>(Tablo142[[#This Row],[Net Kapasite Direkt]]-Tablo142[[#This Row],[Toplam Girilen İşçilik]])/Tablo142[[#This Row],[Net Kapasite Direkt]]*100</f>
        <v>55.000935961513264</v>
      </c>
      <c r="J129" s="28">
        <f t="shared" si="22"/>
        <v>5.4601497137824744</v>
      </c>
      <c r="K129" s="29">
        <f t="shared" si="23"/>
        <v>17807</v>
      </c>
      <c r="L129" s="29">
        <f t="shared" si="23"/>
        <v>442.5</v>
      </c>
      <c r="M129" s="30">
        <f t="shared" si="24"/>
        <v>24.370463761202167</v>
      </c>
      <c r="N129" s="30">
        <f>Tablo142[[#This Row],[Ödünç İşçilik]]+Tablo142[[#This Row],[Üretilen Değer (Sap Verisi)]]</f>
        <v>7741.4833333333336</v>
      </c>
      <c r="O129" s="61">
        <f>SUMIFS(Tablo2[Ağustos],Tablo2[BÖLÜM],Tablo142[[#This Row],[Bölüm]])/60</f>
        <v>271.5</v>
      </c>
      <c r="P129" s="31">
        <f>AC129+O129+Tablo142[[#This Row],[Ödünç İşçilik]]</f>
        <v>8012.9833333333336</v>
      </c>
      <c r="Q129" s="31">
        <f t="shared" si="25"/>
        <v>9794.0166666666664</v>
      </c>
      <c r="R129" s="364">
        <v>83</v>
      </c>
      <c r="S129" s="364">
        <v>2</v>
      </c>
      <c r="T129" s="364">
        <v>18801</v>
      </c>
      <c r="U129" s="364">
        <v>502.5</v>
      </c>
      <c r="V129" s="364">
        <v>994</v>
      </c>
      <c r="W129" s="364">
        <v>60</v>
      </c>
      <c r="X129" s="363">
        <f>1150/60</f>
        <v>19.166666666666668</v>
      </c>
      <c r="Y129" s="364">
        <v>14358.5</v>
      </c>
      <c r="Z129" s="364">
        <v>315</v>
      </c>
      <c r="AA129" s="364">
        <v>3448.5</v>
      </c>
      <c r="AB129" s="364">
        <v>127.5</v>
      </c>
      <c r="AC129" s="388">
        <f>Sayfa1!S790</f>
        <v>7722.3166666666666</v>
      </c>
    </row>
    <row r="130" spans="2:29" ht="19.95" customHeight="1" x14ac:dyDescent="0.3">
      <c r="B130" s="229" t="s">
        <v>115</v>
      </c>
      <c r="C130" s="25" t="s">
        <v>4</v>
      </c>
      <c r="D130" s="26" t="s">
        <v>25</v>
      </c>
      <c r="E130" s="27" t="s">
        <v>23</v>
      </c>
      <c r="F130" s="488">
        <f>Tablo142[[#This Row],[Verimlilik
%]]+Tablo142[[#This Row],[Net İşçilik Kapasite Kaybı %]]</f>
        <v>51.780446549391044</v>
      </c>
      <c r="G130" s="43">
        <f t="shared" si="32"/>
        <v>51.780446549391044</v>
      </c>
      <c r="H130" s="43">
        <f>Tablo142[[#This Row],[Duruş]]/Tablo142[[#This Row],[Net Kapasite Direkt]]*100</f>
        <v>0</v>
      </c>
      <c r="I130" s="43">
        <f>(Tablo142[[#This Row],[Net Kapasite Direkt]]-Tablo142[[#This Row],[Toplam Girilen İşçilik]])/Tablo142[[#This Row],[Net Kapasite Direkt]]*100</f>
        <v>48.219553450608949</v>
      </c>
      <c r="J130" s="28">
        <f t="shared" si="22"/>
        <v>13.186490455212921</v>
      </c>
      <c r="K130" s="29">
        <f t="shared" si="23"/>
        <v>1478</v>
      </c>
      <c r="L130" s="29">
        <f t="shared" si="23"/>
        <v>0</v>
      </c>
      <c r="M130" s="30">
        <f t="shared" si="24"/>
        <v>35.845588235294116</v>
      </c>
      <c r="N130" s="30">
        <f>Tablo142[[#This Row],[Ödünç İşçilik]]+Tablo142[[#This Row],[Üretilen Değer (Sap Verisi)]]</f>
        <v>765.31499999999971</v>
      </c>
      <c r="O130" s="61">
        <f>SUMIFS(Tablo2[Ağustos],Tablo2[BÖLÜM],Tablo142[[#This Row],[Bölüm]])/60</f>
        <v>0</v>
      </c>
      <c r="P130" s="31">
        <f>AC130+O130+Tablo142[[#This Row],[Ödünç İşçilik]]</f>
        <v>765.31499999999971</v>
      </c>
      <c r="Q130" s="31">
        <f t="shared" si="25"/>
        <v>712.68500000000029</v>
      </c>
      <c r="R130" s="364">
        <v>7</v>
      </c>
      <c r="S130" s="364"/>
      <c r="T130" s="364">
        <v>1702.5</v>
      </c>
      <c r="U130" s="364"/>
      <c r="V130" s="364">
        <v>224.5</v>
      </c>
      <c r="W130" s="364"/>
      <c r="X130" s="363"/>
      <c r="Y130" s="364">
        <v>1088</v>
      </c>
      <c r="Z130" s="364"/>
      <c r="AA130" s="364">
        <v>390</v>
      </c>
      <c r="AB130" s="364"/>
      <c r="AC130" s="388">
        <f>Sayfa1!S791</f>
        <v>765.31499999999971</v>
      </c>
    </row>
    <row r="131" spans="2:29" ht="19.95" customHeight="1" thickBot="1" x14ac:dyDescent="0.35">
      <c r="B131" s="229" t="s">
        <v>115</v>
      </c>
      <c r="C131" s="25" t="s">
        <v>4</v>
      </c>
      <c r="D131" s="26" t="s">
        <v>25</v>
      </c>
      <c r="E131" s="27" t="s">
        <v>20</v>
      </c>
      <c r="F131" s="488">
        <f>Tablo142[[#This Row],[Verimlilik
%]]+Tablo142[[#This Row],[Net İşçilik Kapasite Kaybı %]]</f>
        <v>55.974632843791724</v>
      </c>
      <c r="G131" s="43">
        <f t="shared" si="32"/>
        <v>55.974632843791724</v>
      </c>
      <c r="H131" s="43">
        <f>Tablo142[[#This Row],[Duruş]]/Tablo142[[#This Row],[Net Kapasite Direkt]]*100</f>
        <v>0</v>
      </c>
      <c r="I131" s="43">
        <f>(Tablo142[[#This Row],[Net Kapasite Direkt]]-Tablo142[[#This Row],[Toplam Girilen İşçilik]])/Tablo142[[#This Row],[Net Kapasite Direkt]]*100</f>
        <v>44.025367156208276</v>
      </c>
      <c r="J131" s="28">
        <f t="shared" si="22"/>
        <v>10.37977632805219</v>
      </c>
      <c r="K131" s="29">
        <f t="shared" si="23"/>
        <v>2996</v>
      </c>
      <c r="L131" s="29">
        <f t="shared" si="23"/>
        <v>850.5</v>
      </c>
      <c r="M131" s="30">
        <f t="shared" si="24"/>
        <v>31.302270011947432</v>
      </c>
      <c r="N131" s="30">
        <f>Tablo142[[#This Row],[Ödünç İşçilik]]+Tablo142[[#This Row],[Üretilen Değer (Sap Verisi)]]</f>
        <v>1677</v>
      </c>
      <c r="O131" s="61">
        <f>SUMIFS(Tablo2[Ağustos],Tablo2[BÖLÜM],Tablo142[[#This Row],[Bölüm]])/60</f>
        <v>0</v>
      </c>
      <c r="P131" s="31">
        <f>AC131+O131+Tablo142[[#This Row],[Ödünç İşçilik]]</f>
        <v>1677</v>
      </c>
      <c r="Q131" s="31">
        <f t="shared" si="25"/>
        <v>1319</v>
      </c>
      <c r="R131" s="325">
        <v>14</v>
      </c>
      <c r="S131" s="325">
        <v>4</v>
      </c>
      <c r="T131" s="325">
        <v>3337.5</v>
      </c>
      <c r="U131" s="325">
        <v>954.5</v>
      </c>
      <c r="V131" s="325">
        <v>341.5</v>
      </c>
      <c r="W131" s="325">
        <v>104</v>
      </c>
      <c r="X131" s="386"/>
      <c r="Y131" s="325">
        <v>2283.5</v>
      </c>
      <c r="Z131" s="325">
        <v>646</v>
      </c>
      <c r="AA131" s="325">
        <v>712.5</v>
      </c>
      <c r="AB131" s="325">
        <v>204.5</v>
      </c>
      <c r="AC131" s="503">
        <f>Sayfa1!S792</f>
        <v>1677</v>
      </c>
    </row>
    <row r="132" spans="2:29" ht="19.95" customHeight="1" x14ac:dyDescent="0.3">
      <c r="B132" s="312" t="s">
        <v>116</v>
      </c>
      <c r="C132" s="215" t="s">
        <v>4</v>
      </c>
      <c r="D132" s="216" t="s">
        <v>108</v>
      </c>
      <c r="E132" s="217" t="s">
        <v>5</v>
      </c>
      <c r="F132" s="487">
        <f>Tablo142[[#This Row],[Verimlilik
%]]+Tablo142[[#This Row],[Net İşçilik Kapasite Kaybı %]]</f>
        <v>81.734172237514741</v>
      </c>
      <c r="G132" s="219">
        <f t="shared" si="32"/>
        <v>79.102765762223086</v>
      </c>
      <c r="H132" s="219">
        <f>Tablo142[[#This Row],[Duruş]]/Tablo142[[#This Row],[Net Kapasite Direkt]]*100</f>
        <v>2.6314064752916506</v>
      </c>
      <c r="I132" s="219">
        <f>(Tablo142[[#This Row],[Net Kapasite Direkt]]-Tablo142[[#This Row],[Toplam Girilen İşçilik]])/Tablo142[[#This Row],[Net Kapasite Direkt]]*100</f>
        <v>18.265827762485255</v>
      </c>
      <c r="J132" s="220">
        <f t="shared" si="22"/>
        <v>14.204100798246987</v>
      </c>
      <c r="K132" s="221">
        <f t="shared" si="23"/>
        <v>5086</v>
      </c>
      <c r="L132" s="221">
        <f t="shared" si="23"/>
        <v>395.5</v>
      </c>
      <c r="M132" s="222">
        <f t="shared" si="24"/>
        <v>24.934472934472936</v>
      </c>
      <c r="N132" s="222">
        <f>Tablo142[[#This Row],[Ödünç İşçilik]]+Tablo142[[#This Row],[Üretilen Değer (Sap Verisi)]]</f>
        <v>4023.1666666666665</v>
      </c>
      <c r="O132" s="223">
        <f>SUMIFS(Tablo2[Eylül],Tablo2[BÖLÜM],Tablo142[[#This Row],[Bölüm]])/60</f>
        <v>133.83333333333334</v>
      </c>
      <c r="P132" s="224">
        <f>AC132+O132+Tablo142[[#This Row],[Ödünç İşçilik]]</f>
        <v>4157</v>
      </c>
      <c r="Q132" s="224">
        <f t="shared" si="25"/>
        <v>929</v>
      </c>
      <c r="R132" s="504">
        <v>25</v>
      </c>
      <c r="S132" s="504">
        <v>2</v>
      </c>
      <c r="T132" s="504">
        <v>5881.5</v>
      </c>
      <c r="U132" s="504">
        <v>507.5</v>
      </c>
      <c r="V132" s="504">
        <v>795.5</v>
      </c>
      <c r="W132" s="504">
        <v>112</v>
      </c>
      <c r="X132" s="365">
        <f>3810/60</f>
        <v>63.5</v>
      </c>
      <c r="Y132" s="504">
        <v>4109.5</v>
      </c>
      <c r="Z132" s="504">
        <v>278</v>
      </c>
      <c r="AA132" s="504">
        <v>976.5</v>
      </c>
      <c r="AB132" s="504">
        <v>117.5</v>
      </c>
      <c r="AC132" s="507">
        <f>Sayfa1!U867</f>
        <v>3959.6666666666665</v>
      </c>
    </row>
    <row r="133" spans="2:29" ht="19.95" customHeight="1" x14ac:dyDescent="0.3">
      <c r="B133" s="315" t="s">
        <v>116</v>
      </c>
      <c r="C133" s="25" t="s">
        <v>4</v>
      </c>
      <c r="D133" s="26" t="s">
        <v>108</v>
      </c>
      <c r="E133" s="27" t="s">
        <v>46</v>
      </c>
      <c r="F133" s="488">
        <f>Tablo142[[#This Row],[Verimlilik
%]]+Tablo142[[#This Row],[Net İşçilik Kapasite Kaybı %]]</f>
        <v>91.238688819774097</v>
      </c>
      <c r="G133" s="43">
        <f t="shared" si="32"/>
        <v>90.051915207071531</v>
      </c>
      <c r="H133" s="43">
        <f>Tablo142[[#This Row],[Duruş]]/Tablo142[[#This Row],[Net Kapasite Direkt]]*100</f>
        <v>1.1867736127025699</v>
      </c>
      <c r="I133" s="43">
        <f>(Tablo142[[#This Row],[Net Kapasite Direkt]]-Tablo142[[#This Row],[Toplam Girilen İşçilik]])/Tablo142[[#This Row],[Net Kapasite Direkt]]*100</f>
        <v>8.7613111802258992</v>
      </c>
      <c r="J133" s="28">
        <f t="shared" si="22"/>
        <v>7.4676037777289705</v>
      </c>
      <c r="K133" s="29">
        <f t="shared" si="23"/>
        <v>6109</v>
      </c>
      <c r="L133" s="29">
        <f t="shared" si="23"/>
        <v>210.5</v>
      </c>
      <c r="M133" s="30">
        <f t="shared" si="24"/>
        <v>32.102376599634368</v>
      </c>
      <c r="N133" s="30">
        <f>Tablo142[[#This Row],[Ödünç İşçilik]]+Tablo142[[#This Row],[Üretilen Değer (Sap Verisi)]]</f>
        <v>5501.2714999999998</v>
      </c>
      <c r="O133" s="61">
        <f>SUMIFS(Tablo2[Eylül],Tablo2[BÖLÜM],Tablo142[[#This Row],[Bölüm]])/60</f>
        <v>72.5</v>
      </c>
      <c r="P133" s="31">
        <f>AC133+O133+Tablo142[[#This Row],[Ödünç İşçilik]]</f>
        <v>5573.7714999999998</v>
      </c>
      <c r="Q133" s="31">
        <f t="shared" si="25"/>
        <v>535.22850000000017</v>
      </c>
      <c r="R133" s="502">
        <v>24</v>
      </c>
      <c r="S133" s="502">
        <v>1</v>
      </c>
      <c r="T133" s="502">
        <f>5691.5+900</f>
        <v>6591.5</v>
      </c>
      <c r="U133" s="502">
        <v>238</v>
      </c>
      <c r="V133" s="502">
        <v>482.5</v>
      </c>
      <c r="W133" s="502">
        <v>27.5</v>
      </c>
      <c r="X133" s="363">
        <f>780/60</f>
        <v>13</v>
      </c>
      <c r="Y133" s="502">
        <v>3935</v>
      </c>
      <c r="Z133" s="502">
        <v>167.5</v>
      </c>
      <c r="AA133" s="502">
        <v>1274</v>
      </c>
      <c r="AB133" s="502">
        <v>43</v>
      </c>
      <c r="AC133" s="507">
        <f>Sayfa1!U868</f>
        <v>5488.2714999999998</v>
      </c>
    </row>
    <row r="134" spans="2:29" ht="19.95" customHeight="1" x14ac:dyDescent="0.3">
      <c r="B134" s="315" t="s">
        <v>116</v>
      </c>
      <c r="C134" s="25" t="s">
        <v>4</v>
      </c>
      <c r="D134" s="26" t="s">
        <v>108</v>
      </c>
      <c r="E134" s="27" t="s">
        <v>13</v>
      </c>
      <c r="F134" s="488">
        <f>Tablo142[[#This Row],[Verimlilik
%]]+Tablo142[[#This Row],[Net İşçilik Kapasite Kaybı %]]</f>
        <v>77.088352860096478</v>
      </c>
      <c r="G134" s="43">
        <f t="shared" si="32"/>
        <v>76.996462209970133</v>
      </c>
      <c r="H134" s="43">
        <f>Tablo142[[#This Row],[Duruş]]/Tablo142[[#This Row],[Net Kapasite Direkt]]*100</f>
        <v>9.1890650126349643E-2</v>
      </c>
      <c r="I134" s="43">
        <f>(Tablo142[[#This Row],[Net Kapasite Direkt]]-Tablo142[[#This Row],[Toplam Girilen İşçilik]])/Tablo142[[#This Row],[Net Kapasite Direkt]]*100</f>
        <v>22.911647139903515</v>
      </c>
      <c r="J134" s="28">
        <f t="shared" si="22"/>
        <v>12.169929944314712</v>
      </c>
      <c r="K134" s="29">
        <f t="shared" si="23"/>
        <v>4353</v>
      </c>
      <c r="L134" s="29">
        <f t="shared" si="23"/>
        <v>536.5</v>
      </c>
      <c r="M134" s="30">
        <f t="shared" si="24"/>
        <v>29.867340492735313</v>
      </c>
      <c r="N134" s="30">
        <f>Tablo142[[#This Row],[Ödünç İşçilik]]+Tablo142[[#This Row],[Üretilen Değer (Sap Verisi)]]</f>
        <v>3351.6559999999999</v>
      </c>
      <c r="O134" s="61">
        <f>SUMIFS(Tablo2[Eylül],Tablo2[BÖLÜM],Tablo142[[#This Row],[Bölüm]])/60</f>
        <v>4</v>
      </c>
      <c r="P134" s="31">
        <f>AC134+O134+Tablo142[[#This Row],[Ödünç İşçilik]]</f>
        <v>3355.6559999999999</v>
      </c>
      <c r="Q134" s="31">
        <f t="shared" si="25"/>
        <v>997.34400000000005</v>
      </c>
      <c r="R134" s="502">
        <v>22</v>
      </c>
      <c r="S134" s="502">
        <v>2</v>
      </c>
      <c r="T134" s="502">
        <f>5253.5-250</f>
        <v>5003.5</v>
      </c>
      <c r="U134" s="502">
        <v>563.5</v>
      </c>
      <c r="V134" s="502">
        <v>650.5</v>
      </c>
      <c r="W134" s="502">
        <v>27</v>
      </c>
      <c r="X134" s="363"/>
      <c r="Y134" s="502">
        <v>3594.5</v>
      </c>
      <c r="Z134" s="502">
        <v>363</v>
      </c>
      <c r="AA134" s="502">
        <v>1008.5</v>
      </c>
      <c r="AB134" s="502">
        <v>173.5</v>
      </c>
      <c r="AC134" s="507">
        <f>Sayfa1!U869</f>
        <v>3351.6559999999999</v>
      </c>
    </row>
    <row r="135" spans="2:29" ht="19.95" customHeight="1" x14ac:dyDescent="0.3">
      <c r="B135" s="315" t="s">
        <v>116</v>
      </c>
      <c r="C135" s="25" t="s">
        <v>4</v>
      </c>
      <c r="D135" s="26" t="s">
        <v>108</v>
      </c>
      <c r="E135" s="27" t="s">
        <v>9</v>
      </c>
      <c r="F135" s="488">
        <f>Tablo142[[#This Row],[Verimlilik
%]]+Tablo142[[#This Row],[Net İşçilik Kapasite Kaybı %]]</f>
        <v>74.157802713987778</v>
      </c>
      <c r="G135" s="43">
        <f t="shared" si="32"/>
        <v>74.157802713987778</v>
      </c>
      <c r="H135" s="43">
        <f>Tablo142[[#This Row],[Duruş]]/Tablo142[[#This Row],[Net Kapasite Direkt]]*100</f>
        <v>0</v>
      </c>
      <c r="I135" s="43">
        <f>(Tablo142[[#This Row],[Net Kapasite Direkt]]-Tablo142[[#This Row],[Toplam Girilen İşçilik]])/Tablo142[[#This Row],[Net Kapasite Direkt]]*100</f>
        <v>25.842197286012219</v>
      </c>
      <c r="J135" s="28">
        <f t="shared" si="22"/>
        <v>10.404489127893383</v>
      </c>
      <c r="K135" s="29">
        <f t="shared" si="23"/>
        <v>1916</v>
      </c>
      <c r="L135" s="29">
        <f t="shared" si="23"/>
        <v>0</v>
      </c>
      <c r="M135" s="30">
        <f t="shared" si="24"/>
        <v>33.472041612483743</v>
      </c>
      <c r="N135" s="30">
        <f>Tablo142[[#This Row],[Ödünç İşçilik]]+Tablo142[[#This Row],[Üretilen Değer (Sap Verisi)]]</f>
        <v>1420.8635000000058</v>
      </c>
      <c r="O135" s="61">
        <f>SUMIFS(Tablo2[Eylül],Tablo2[BÖLÜM],Tablo142[[#This Row],[Bölüm]])/60</f>
        <v>0</v>
      </c>
      <c r="P135" s="31">
        <f>AC135+O135+Tablo142[[#This Row],[Ödünç İşçilik]]</f>
        <v>1420.8635000000058</v>
      </c>
      <c r="Q135" s="31">
        <f t="shared" si="25"/>
        <v>495.13649999999416</v>
      </c>
      <c r="R135" s="502">
        <v>11</v>
      </c>
      <c r="S135" s="502"/>
      <c r="T135" s="502">
        <f>2788.5-650</f>
        <v>2138.5</v>
      </c>
      <c r="U135" s="502"/>
      <c r="V135" s="502">
        <v>222.5</v>
      </c>
      <c r="W135" s="502"/>
      <c r="X135" s="363"/>
      <c r="Y135" s="502">
        <v>1922.5</v>
      </c>
      <c r="Z135" s="502"/>
      <c r="AA135" s="502">
        <v>643.5</v>
      </c>
      <c r="AB135" s="502"/>
      <c r="AC135" s="507">
        <f>Sayfa1!U870</f>
        <v>1420.8635000000058</v>
      </c>
    </row>
    <row r="136" spans="2:29" ht="19.95" customHeight="1" x14ac:dyDescent="0.3">
      <c r="B136" s="315" t="s">
        <v>116</v>
      </c>
      <c r="C136" s="25" t="s">
        <v>1011</v>
      </c>
      <c r="D136" s="26" t="s">
        <v>108</v>
      </c>
      <c r="E136" s="27" t="s">
        <v>1015</v>
      </c>
      <c r="F136" s="488">
        <f>Tablo142[[#This Row],[Verimlilik
%]]+Tablo142[[#This Row],[Net İşçilik Kapasite Kaybı %]]</f>
        <v>95.424227093872943</v>
      </c>
      <c r="G136" s="43">
        <f t="shared" si="32"/>
        <v>95.424227093872943</v>
      </c>
      <c r="H136" s="43">
        <f>Tablo142[[#This Row],[Duruş]]/Tablo142[[#This Row],[Net Kapasite Direkt]]*100</f>
        <v>0</v>
      </c>
      <c r="I136" s="43">
        <f>(Tablo142[[#This Row],[Net Kapasite Direkt]]-Tablo142[[#This Row],[Toplam Girilen İşçilik]])/Tablo142[[#This Row],[Net Kapasite Direkt]]*100</f>
        <v>4.5757729061270513</v>
      </c>
      <c r="J136" s="28">
        <f t="shared" si="22"/>
        <v>2.2377031876715221</v>
      </c>
      <c r="K136" s="29">
        <f t="shared" si="23"/>
        <v>2075.5</v>
      </c>
      <c r="L136" s="29">
        <f t="shared" si="23"/>
        <v>240</v>
      </c>
      <c r="M136" s="30">
        <f t="shared" si="24"/>
        <v>20.986984815618221</v>
      </c>
      <c r="N136" s="30">
        <f>Tablo142[[#This Row],[Ödünç İşçilik]]+Tablo142[[#This Row],[Üretilen Değer (Sap Verisi)]]</f>
        <v>1980.529833333333</v>
      </c>
      <c r="O136" s="61">
        <f>SUMIFS(Tablo2[Eylül],Tablo2[BÖLÜM],Tablo142[[#This Row],[Bölüm]])/60</f>
        <v>0</v>
      </c>
      <c r="P136" s="31">
        <f>AC136+O136+Tablo142[[#This Row],[Ödünç İşçilik]]</f>
        <v>1980.529833333333</v>
      </c>
      <c r="Q136" s="31">
        <f t="shared" si="25"/>
        <v>94.970166666666955</v>
      </c>
      <c r="R136" s="502">
        <v>4</v>
      </c>
      <c r="S136" s="502">
        <v>1</v>
      </c>
      <c r="T136" s="506">
        <f>928.5+1200</f>
        <v>2128.5</v>
      </c>
      <c r="U136" s="502">
        <v>240</v>
      </c>
      <c r="V136" s="502">
        <v>53</v>
      </c>
      <c r="W136" s="502">
        <v>0</v>
      </c>
      <c r="X136" s="363"/>
      <c r="Y136" s="502">
        <v>727</v>
      </c>
      <c r="Z136" s="502">
        <v>195</v>
      </c>
      <c r="AA136" s="502">
        <v>148.5</v>
      </c>
      <c r="AB136" s="502">
        <v>45</v>
      </c>
      <c r="AC136" s="507">
        <f>Sayfa1!U882</f>
        <v>1980.529833333333</v>
      </c>
    </row>
    <row r="137" spans="2:29" ht="19.95" customHeight="1" x14ac:dyDescent="0.3">
      <c r="B137" s="315" t="s">
        <v>116</v>
      </c>
      <c r="C137" s="25" t="s">
        <v>1011</v>
      </c>
      <c r="D137" s="26" t="s">
        <v>108</v>
      </c>
      <c r="E137" s="27" t="s">
        <v>1016</v>
      </c>
      <c r="F137" s="488">
        <f>Tablo142[[#This Row],[Verimlilik
%]]+Tablo142[[#This Row],[Net İşçilik Kapasite Kaybı %]]</f>
        <v>42.591948470209338</v>
      </c>
      <c r="G137" s="43">
        <f t="shared" si="32"/>
        <v>42.591948470209338</v>
      </c>
      <c r="H137" s="43">
        <f>Tablo142[[#This Row],[Duruş]]/Tablo142[[#This Row],[Net Kapasite Direkt]]*100</f>
        <v>0</v>
      </c>
      <c r="I137" s="43">
        <f>(Tablo142[[#This Row],[Net Kapasite Direkt]]-Tablo142[[#This Row],[Toplam Girilen İşçilik]])/Tablo142[[#This Row],[Net Kapasite Direkt]]*100</f>
        <v>57.408051529790662</v>
      </c>
      <c r="J137" s="28">
        <f t="shared" si="22"/>
        <v>53.167420814479641</v>
      </c>
      <c r="K137" s="29">
        <f t="shared" si="23"/>
        <v>103.5</v>
      </c>
      <c r="L137" s="29">
        <f t="shared" si="23"/>
        <v>0</v>
      </c>
      <c r="M137" s="30">
        <f t="shared" si="24"/>
        <v>28.688046647230319</v>
      </c>
      <c r="N137" s="30">
        <f>Tablo142[[#This Row],[Ödünç İşçilik]]+Tablo142[[#This Row],[Üretilen Değer (Sap Verisi)]]</f>
        <v>44.082666666666668</v>
      </c>
      <c r="O137" s="61">
        <f>SUMIFS(Tablo2[Eylül],Tablo2[BÖLÜM],Tablo142[[#This Row],[Bölüm]])/60</f>
        <v>0</v>
      </c>
      <c r="P137" s="31">
        <f>AC137+O137+Tablo142[[#This Row],[Ödünç İşçilik]]</f>
        <v>44.082666666666668</v>
      </c>
      <c r="Q137" s="31">
        <f t="shared" si="25"/>
        <v>59.417333333333332</v>
      </c>
      <c r="R137" s="502">
        <v>5</v>
      </c>
      <c r="S137" s="502"/>
      <c r="T137" s="506">
        <f>1221-1000</f>
        <v>221</v>
      </c>
      <c r="U137" s="502"/>
      <c r="V137" s="502">
        <v>117.5</v>
      </c>
      <c r="W137" s="502"/>
      <c r="X137" s="363"/>
      <c r="Y137" s="502">
        <v>857.5</v>
      </c>
      <c r="Z137" s="502"/>
      <c r="AA137" s="502">
        <v>246</v>
      </c>
      <c r="AB137" s="502"/>
      <c r="AC137" s="507">
        <f>Sayfa1!U883</f>
        <v>44.082666666666668</v>
      </c>
    </row>
    <row r="138" spans="2:29" ht="19.95" customHeight="1" x14ac:dyDescent="0.3">
      <c r="B138" s="315" t="s">
        <v>116</v>
      </c>
      <c r="C138" s="25" t="s">
        <v>1011</v>
      </c>
      <c r="D138" s="26" t="s">
        <v>108</v>
      </c>
      <c r="E138" s="27" t="s">
        <v>1017</v>
      </c>
      <c r="F138" s="488">
        <f>Tablo142[[#This Row],[Verimlilik
%]]+Tablo142[[#This Row],[Net İşçilik Kapasite Kaybı %]]</f>
        <v>58.540183615819217</v>
      </c>
      <c r="G138" s="43">
        <f t="shared" si="32"/>
        <v>58.540183615819217</v>
      </c>
      <c r="H138" s="43">
        <f>Tablo142[[#This Row],[Duruş]]/Tablo142[[#This Row],[Net Kapasite Direkt]]*100</f>
        <v>0</v>
      </c>
      <c r="I138" s="43">
        <f>(Tablo142[[#This Row],[Net Kapasite Direkt]]-Tablo142[[#This Row],[Toplam Girilen İşçilik]])/Tablo142[[#This Row],[Net Kapasite Direkt]]*100</f>
        <v>41.459816384180783</v>
      </c>
      <c r="J138" s="28">
        <f t="shared" si="22"/>
        <v>33.521126760563376</v>
      </c>
      <c r="K138" s="29">
        <f t="shared" si="23"/>
        <v>472</v>
      </c>
      <c r="L138" s="29">
        <f t="shared" si="23"/>
        <v>0</v>
      </c>
      <c r="M138" s="30">
        <f t="shared" si="24"/>
        <v>19.043401240035429</v>
      </c>
      <c r="N138" s="30">
        <f>Tablo142[[#This Row],[Ödünç İşçilik]]+Tablo142[[#This Row],[Üretilen Değer (Sap Verisi)]]</f>
        <v>276.30966666666671</v>
      </c>
      <c r="O138" s="61">
        <f>SUMIFS(Tablo2[Eylül],Tablo2[BÖLÜM],Tablo142[[#This Row],[Bölüm]])/60</f>
        <v>0</v>
      </c>
      <c r="P138" s="31">
        <f>AC138+O138+Tablo142[[#This Row],[Ödünç İşçilik]]</f>
        <v>276.30966666666671</v>
      </c>
      <c r="Q138" s="31">
        <f t="shared" si="25"/>
        <v>195.69033333333329</v>
      </c>
      <c r="R138" s="502">
        <v>4</v>
      </c>
      <c r="S138" s="502"/>
      <c r="T138" s="506">
        <f>910-200</f>
        <v>710</v>
      </c>
      <c r="U138" s="502"/>
      <c r="V138" s="502">
        <v>238</v>
      </c>
      <c r="W138" s="502"/>
      <c r="X138" s="363"/>
      <c r="Y138" s="502">
        <v>564.5</v>
      </c>
      <c r="Z138" s="502"/>
      <c r="AA138" s="502">
        <v>107.5</v>
      </c>
      <c r="AB138" s="502"/>
      <c r="AC138" s="507">
        <f>Sayfa1!U884</f>
        <v>276.30966666666671</v>
      </c>
    </row>
    <row r="139" spans="2:29" ht="19.95" customHeight="1" x14ac:dyDescent="0.3">
      <c r="B139" s="315" t="s">
        <v>116</v>
      </c>
      <c r="C139" s="25" t="s">
        <v>1011</v>
      </c>
      <c r="D139" s="26" t="s">
        <v>108</v>
      </c>
      <c r="E139" s="27" t="s">
        <v>1014</v>
      </c>
      <c r="F139" s="488">
        <f>Tablo142[[#This Row],[Verimlilik
%]]+Tablo142[[#This Row],[Net İşçilik Kapasite Kaybı %]]</f>
        <v>91.195067328136048</v>
      </c>
      <c r="G139" s="43">
        <f t="shared" si="32"/>
        <v>84.544701157571438</v>
      </c>
      <c r="H139" s="43">
        <f>Tablo142[[#This Row],[Duruş]]/Tablo142[[#This Row],[Net Kapasite Direkt]]*100</f>
        <v>6.6503661705646113</v>
      </c>
      <c r="I139" s="43">
        <f>(Tablo142[[#This Row],[Net Kapasite Direkt]]-Tablo142[[#This Row],[Toplam Girilen İşçilik]])/Tablo142[[#This Row],[Net Kapasite Direkt]]*100</f>
        <v>8.8049326718639414</v>
      </c>
      <c r="J139" s="28">
        <f t="shared" si="22"/>
        <v>7.8874640725182399</v>
      </c>
      <c r="K139" s="29">
        <f t="shared" si="23"/>
        <v>7055</v>
      </c>
      <c r="L139" s="29">
        <f t="shared" si="23"/>
        <v>1277.5</v>
      </c>
      <c r="M139" s="30">
        <f t="shared" si="24"/>
        <v>33.555056900144251</v>
      </c>
      <c r="N139" s="30">
        <f>Tablo142[[#This Row],[Ödünç İşçilik]]+Tablo142[[#This Row],[Üretilen Değer (Sap Verisi)]]</f>
        <v>5964.6286666666656</v>
      </c>
      <c r="O139" s="61">
        <f>SUMIFS(Tablo2[Eylül],Tablo2[BÖLÜM],Tablo142[[#This Row],[Bölüm]])/60</f>
        <v>469.18333333333334</v>
      </c>
      <c r="P139" s="31">
        <f>AC139+O139+Tablo142[[#This Row],[Ödünç İşçilik]]</f>
        <v>6433.811999999999</v>
      </c>
      <c r="Q139" s="31">
        <f t="shared" si="25"/>
        <v>621.18800000000101</v>
      </c>
      <c r="R139" s="502">
        <v>31</v>
      </c>
      <c r="S139" s="502">
        <v>5</v>
      </c>
      <c r="T139" s="502">
        <v>7736</v>
      </c>
      <c r="U139" s="502">
        <v>1310</v>
      </c>
      <c r="V139" s="502">
        <v>681</v>
      </c>
      <c r="W139" s="502">
        <v>32.5</v>
      </c>
      <c r="X139" s="363">
        <f>25910/60</f>
        <v>431.83333333333331</v>
      </c>
      <c r="Y139" s="502">
        <v>5296.5</v>
      </c>
      <c r="Z139" s="502">
        <v>942.5</v>
      </c>
      <c r="AA139" s="502">
        <v>1758.5</v>
      </c>
      <c r="AB139" s="502">
        <v>335</v>
      </c>
      <c r="AC139" s="507">
        <f>Sayfa1!U888</f>
        <v>5532.7953333333326</v>
      </c>
    </row>
    <row r="140" spans="2:29" ht="19.95" customHeight="1" x14ac:dyDescent="0.3">
      <c r="B140" s="315" t="s">
        <v>116</v>
      </c>
      <c r="C140" s="25" t="s">
        <v>1011</v>
      </c>
      <c r="D140" s="26" t="s">
        <v>108</v>
      </c>
      <c r="E140" s="27" t="s">
        <v>26</v>
      </c>
      <c r="F140" s="488">
        <f>Tablo142[[#This Row],[Verimlilik
%]]+Tablo142[[#This Row],[Net İşçilik Kapasite Kaybı %]]</f>
        <v>77.105347222222221</v>
      </c>
      <c r="G140" s="43">
        <f t="shared" si="32"/>
        <v>68.481215277777778</v>
      </c>
      <c r="H140" s="43">
        <f>Tablo142[[#This Row],[Duruş]]/Tablo142[[#This Row],[Net Kapasite Direkt]]*100</f>
        <v>8.6241319444444446</v>
      </c>
      <c r="I140" s="43">
        <f>(Tablo142[[#This Row],[Net Kapasite Direkt]]-Tablo142[[#This Row],[Toplam Girilen İşçilik]])/Tablo142[[#This Row],[Net Kapasite Direkt]]*100</f>
        <v>22.894652777777768</v>
      </c>
      <c r="J140" s="28">
        <f t="shared" si="22"/>
        <v>18.263090676883781</v>
      </c>
      <c r="K140" s="29">
        <f t="shared" si="23"/>
        <v>1920</v>
      </c>
      <c r="L140" s="29">
        <f t="shared" si="23"/>
        <v>0</v>
      </c>
      <c r="M140" s="30">
        <f t="shared" si="24"/>
        <v>26.232741617357004</v>
      </c>
      <c r="N140" s="30">
        <f>Tablo142[[#This Row],[Ödünç İşçilik]]+Tablo142[[#This Row],[Üretilen Değer (Sap Verisi)]]</f>
        <v>1314.8393333333333</v>
      </c>
      <c r="O140" s="61">
        <f>SUMIFS(Tablo2[Eylül],Tablo2[BÖLÜM],Tablo142[[#This Row],[Bölüm]])/60</f>
        <v>165.58333333333334</v>
      </c>
      <c r="P140" s="31">
        <f>AC140+O140+Tablo142[[#This Row],[Ödünç İşçilik]]</f>
        <v>1480.4226666666668</v>
      </c>
      <c r="Q140" s="31">
        <f t="shared" si="25"/>
        <v>439.57733333333317</v>
      </c>
      <c r="R140" s="502">
        <v>10</v>
      </c>
      <c r="S140" s="502"/>
      <c r="T140" s="502">
        <v>2349</v>
      </c>
      <c r="U140" s="502"/>
      <c r="V140" s="502">
        <v>429</v>
      </c>
      <c r="W140" s="502"/>
      <c r="X140" s="363">
        <v>305.89999999999998</v>
      </c>
      <c r="Y140" s="502">
        <v>1521</v>
      </c>
      <c r="Z140" s="502"/>
      <c r="AA140" s="502">
        <v>399</v>
      </c>
      <c r="AB140" s="502"/>
      <c r="AC140" s="507">
        <f>Sayfa1!U889</f>
        <v>1008.9393333333334</v>
      </c>
    </row>
    <row r="141" spans="2:29" ht="19.95" customHeight="1" x14ac:dyDescent="0.3">
      <c r="B141" s="315" t="s">
        <v>116</v>
      </c>
      <c r="C141" s="25" t="s">
        <v>4</v>
      </c>
      <c r="D141" s="26" t="s">
        <v>108</v>
      </c>
      <c r="E141" s="27" t="s">
        <v>17</v>
      </c>
      <c r="F141" s="488">
        <f>Tablo142[[#This Row],[Verimlilik
%]]+Tablo142[[#This Row],[Net İşçilik Kapasite Kaybı %]]</f>
        <v>75.381339863125518</v>
      </c>
      <c r="G141" s="43">
        <f t="shared" si="32"/>
        <v>70.980008790104861</v>
      </c>
      <c r="H141" s="43">
        <f>Tablo142[[#This Row],[Duruş]]/Tablo142[[#This Row],[Net Kapasite Direkt]]*100</f>
        <v>4.401331073020657</v>
      </c>
      <c r="I141" s="43">
        <f>(Tablo142[[#This Row],[Net Kapasite Direkt]]-Tablo142[[#This Row],[Toplam Girilen İşçilik]])/Tablo142[[#This Row],[Net Kapasite Direkt]]*100</f>
        <v>24.618660136874482</v>
      </c>
      <c r="J141" s="28">
        <f t="shared" si="22"/>
        <v>10.714783335655566</v>
      </c>
      <c r="K141" s="29">
        <f t="shared" si="23"/>
        <v>2654.5</v>
      </c>
      <c r="L141" s="29">
        <f t="shared" si="23"/>
        <v>549.5</v>
      </c>
      <c r="M141" s="30">
        <f t="shared" si="24"/>
        <v>35.404861999634434</v>
      </c>
      <c r="N141" s="30">
        <f>Tablo142[[#This Row],[Ödünç İşçilik]]+Tablo142[[#This Row],[Üretilen Değer (Sap Verisi)]]</f>
        <v>1884.1643333333336</v>
      </c>
      <c r="O141" s="61">
        <f>SUMIFS(Tablo2[Eylül],Tablo2[BÖLÜM],Tablo142[[#This Row],[Bölüm]])/60</f>
        <v>116.83333333333333</v>
      </c>
      <c r="P141" s="31">
        <f>AC141+O141+Tablo142[[#This Row],[Ödünç İşçilik]]</f>
        <v>2000.9976666666669</v>
      </c>
      <c r="Q141" s="31">
        <f t="shared" si="25"/>
        <v>653.50233333333313</v>
      </c>
      <c r="R141" s="502">
        <v>13</v>
      </c>
      <c r="S141" s="502">
        <v>3</v>
      </c>
      <c r="T141" s="502">
        <f>3354-500</f>
        <v>2854</v>
      </c>
      <c r="U141" s="502">
        <v>734.5</v>
      </c>
      <c r="V141" s="502">
        <v>199.5</v>
      </c>
      <c r="W141" s="502">
        <v>185</v>
      </c>
      <c r="X141" s="363"/>
      <c r="Y141" s="502">
        <v>2335.5</v>
      </c>
      <c r="Z141" s="502">
        <v>400</v>
      </c>
      <c r="AA141" s="502">
        <v>819</v>
      </c>
      <c r="AB141" s="502">
        <v>149.5</v>
      </c>
      <c r="AC141" s="507">
        <f>Sayfa1!U890</f>
        <v>1884.1643333333336</v>
      </c>
    </row>
    <row r="142" spans="2:29" ht="19.95" customHeight="1" x14ac:dyDescent="0.3">
      <c r="B142" s="315" t="s">
        <v>116</v>
      </c>
      <c r="C142" s="25" t="s">
        <v>4</v>
      </c>
      <c r="D142" s="26" t="s">
        <v>108</v>
      </c>
      <c r="E142" s="27" t="s">
        <v>29</v>
      </c>
      <c r="F142" s="488">
        <f>Tablo142[[#This Row],[Verimlilik
%]]+Tablo142[[#This Row],[Net İşçilik Kapasite Kaybı %]]</f>
        <v>98.06558656855276</v>
      </c>
      <c r="G142" s="43">
        <f t="shared" si="32"/>
        <v>90.153043220840672</v>
      </c>
      <c r="H142" s="43">
        <f>Tablo142[[#This Row],[Duruş]]/Tablo142[[#This Row],[Net Kapasite Direkt]]*100</f>
        <v>7.9125433477120861</v>
      </c>
      <c r="I142" s="43">
        <f>(Tablo142[[#This Row],[Net Kapasite Direkt]]-Tablo142[[#This Row],[Toplam Girilen İşçilik]])/Tablo142[[#This Row],[Net Kapasite Direkt]]*100</f>
        <v>1.9344134314472368</v>
      </c>
      <c r="J142" s="28">
        <f t="shared" si="22"/>
        <v>4.6974821495678318</v>
      </c>
      <c r="K142" s="29">
        <f t="shared" si="23"/>
        <v>1970.5</v>
      </c>
      <c r="L142" s="29">
        <f t="shared" si="23"/>
        <v>565.5</v>
      </c>
      <c r="M142" s="30">
        <f t="shared" si="24"/>
        <v>41.881533101045299</v>
      </c>
      <c r="N142" s="30">
        <f>Tablo142[[#This Row],[Ödünç İşçilik]]+Tablo142[[#This Row],[Üretilen Değer (Sap Verisi)]]</f>
        <v>1776.4657166666655</v>
      </c>
      <c r="O142" s="61">
        <f>SUMIFS(Tablo2[Eylül],Tablo2[BÖLÜM],Tablo142[[#This Row],[Bölüm]])/60</f>
        <v>155.91666666666666</v>
      </c>
      <c r="P142" s="31">
        <f>AC142+O142+Tablo142[[#This Row],[Ödünç İşçilik]]</f>
        <v>1932.3823833333322</v>
      </c>
      <c r="Q142" s="31">
        <f t="shared" si="25"/>
        <v>38.1176166666678</v>
      </c>
      <c r="R142" s="502">
        <v>7</v>
      </c>
      <c r="S142" s="502">
        <v>2</v>
      </c>
      <c r="T142" s="502">
        <f>1588+500</f>
        <v>2088</v>
      </c>
      <c r="U142" s="502">
        <v>573</v>
      </c>
      <c r="V142" s="502">
        <v>117.5</v>
      </c>
      <c r="W142" s="502">
        <v>7.5</v>
      </c>
      <c r="X142" s="363"/>
      <c r="Y142" s="502">
        <v>1052.5</v>
      </c>
      <c r="Z142" s="502">
        <v>382.5</v>
      </c>
      <c r="AA142" s="502">
        <v>418</v>
      </c>
      <c r="AB142" s="502">
        <v>183</v>
      </c>
      <c r="AC142" s="507">
        <f>Sayfa1!U891</f>
        <v>1776.4657166666655</v>
      </c>
    </row>
    <row r="143" spans="2:29" ht="19.95" customHeight="1" x14ac:dyDescent="0.3">
      <c r="B143" s="315" t="s">
        <v>116</v>
      </c>
      <c r="C143" s="25" t="s">
        <v>4</v>
      </c>
      <c r="D143" s="26" t="s">
        <v>108</v>
      </c>
      <c r="E143" s="27" t="s">
        <v>43</v>
      </c>
      <c r="F143" s="488">
        <f>Tablo142[[#This Row],[Verimlilik
%]]+Tablo142[[#This Row],[Net İşçilik Kapasite Kaybı %]]</f>
        <v>69.464585676790378</v>
      </c>
      <c r="G143" s="43">
        <f t="shared" si="32"/>
        <v>67.561698537682773</v>
      </c>
      <c r="H143" s="43">
        <f>Tablo142[[#This Row],[Duruş]]/Tablo142[[#This Row],[Net Kapasite Direkt]]*100</f>
        <v>1.9028871391076114</v>
      </c>
      <c r="I143" s="43">
        <f>(Tablo142[[#This Row],[Net Kapasite Direkt]]-Tablo142[[#This Row],[Toplam Girilen İşçilik]])/Tablo142[[#This Row],[Net Kapasite Direkt]]*100</f>
        <v>30.535414323209615</v>
      </c>
      <c r="J143" s="28">
        <f t="shared" si="22"/>
        <v>10.115890787664505</v>
      </c>
      <c r="K143" s="29">
        <f t="shared" si="23"/>
        <v>3556</v>
      </c>
      <c r="L143" s="29">
        <f t="shared" si="23"/>
        <v>1020</v>
      </c>
      <c r="M143" s="30">
        <f t="shared" si="24"/>
        <v>27.821229050279328</v>
      </c>
      <c r="N143" s="30">
        <f>Tablo142[[#This Row],[Ödünç İşçilik]]+Tablo142[[#This Row],[Üretilen Değer (Sap Verisi)]]</f>
        <v>2402.4939999999997</v>
      </c>
      <c r="O143" s="61">
        <f>SUMIFS(Tablo2[Eylül],Tablo2[BÖLÜM],Tablo142[[#This Row],[Bölüm]])/60</f>
        <v>67.666666666666671</v>
      </c>
      <c r="P143" s="31">
        <f>AC143+O143+Tablo142[[#This Row],[Ödünç İşçilik]]</f>
        <v>2470.1606666666662</v>
      </c>
      <c r="Q143" s="31">
        <f t="shared" si="25"/>
        <v>1085.8393333333338</v>
      </c>
      <c r="R143" s="502">
        <v>17</v>
      </c>
      <c r="S143" s="502">
        <v>4</v>
      </c>
      <c r="T143" s="502">
        <v>4065.5</v>
      </c>
      <c r="U143" s="502">
        <v>1025.5</v>
      </c>
      <c r="V143" s="502">
        <v>509.5</v>
      </c>
      <c r="W143" s="502">
        <v>5.5</v>
      </c>
      <c r="X143" s="363"/>
      <c r="Y143" s="502">
        <v>2805.5</v>
      </c>
      <c r="Z143" s="502">
        <v>774.5</v>
      </c>
      <c r="AA143" s="502">
        <v>750.5</v>
      </c>
      <c r="AB143" s="502">
        <v>245.5</v>
      </c>
      <c r="AC143" s="508">
        <f>Sayfa1!U894</f>
        <v>2402.4939999999997</v>
      </c>
    </row>
    <row r="144" spans="2:29" ht="19.95" customHeight="1" x14ac:dyDescent="0.3">
      <c r="B144" s="315" t="s">
        <v>116</v>
      </c>
      <c r="C144" s="25" t="s">
        <v>1011</v>
      </c>
      <c r="D144" s="26" t="s">
        <v>108</v>
      </c>
      <c r="E144" s="27" t="s">
        <v>19</v>
      </c>
      <c r="F144" s="488">
        <f>Tablo142[[#This Row],[Verimlilik
%]]+Tablo142[[#This Row],[Net İşçilik Kapasite Kaybı %]]</f>
        <v>61.594667480791742</v>
      </c>
      <c r="G144" s="43">
        <f t="shared" ref="G144:G175" si="33">(AC144+X144)/K144*100</f>
        <v>48.08884139825981</v>
      </c>
      <c r="H144" s="43">
        <f>Tablo142[[#This Row],[Duruş]]/Tablo142[[#This Row],[Net Kapasite Direkt]]*100</f>
        <v>13.505826082531931</v>
      </c>
      <c r="I144" s="43">
        <f>(Tablo142[[#This Row],[Net Kapasite Direkt]]-Tablo142[[#This Row],[Toplam Girilen İşçilik]])/Tablo142[[#This Row],[Net Kapasite Direkt]]*100</f>
        <v>38.405332519208265</v>
      </c>
      <c r="J144" s="28">
        <f t="shared" si="22"/>
        <v>9.6224842205549592</v>
      </c>
      <c r="K144" s="29">
        <f t="shared" si="23"/>
        <v>3275.5</v>
      </c>
      <c r="L144" s="29">
        <f t="shared" si="23"/>
        <v>519</v>
      </c>
      <c r="M144" s="30">
        <f t="shared" si="24"/>
        <v>7.6148610323312536</v>
      </c>
      <c r="N144" s="30">
        <f>Tablo142[[#This Row],[Ödünç İşçilik]]+Tablo142[[#This Row],[Üretilen Değer (Sap Verisi)]]</f>
        <v>1575.15</v>
      </c>
      <c r="O144" s="61">
        <f>SUMIFS(Tablo2[Eylül],Tablo2[BÖLÜM],Tablo142[[#This Row],[Bölüm]])/60</f>
        <v>442.38333333333333</v>
      </c>
      <c r="P144" s="31">
        <f>AC144+O144+Tablo142[[#This Row],[Ödünç İşçilik]]</f>
        <v>2017.5333333333333</v>
      </c>
      <c r="Q144" s="31">
        <f t="shared" si="25"/>
        <v>1257.9666666666667</v>
      </c>
      <c r="R144" s="502">
        <v>18</v>
      </c>
      <c r="S144" s="502">
        <v>3</v>
      </c>
      <c r="T144" s="502">
        <v>3558</v>
      </c>
      <c r="U144" s="502">
        <v>640.5</v>
      </c>
      <c r="V144" s="502">
        <v>282.5</v>
      </c>
      <c r="W144" s="502">
        <v>121.5</v>
      </c>
      <c r="X144" s="363">
        <f>30/60</f>
        <v>0.5</v>
      </c>
      <c r="Y144" s="502">
        <v>3062.5</v>
      </c>
      <c r="Z144" s="502">
        <v>463.5</v>
      </c>
      <c r="AA144" s="502">
        <v>213</v>
      </c>
      <c r="AB144" s="502">
        <v>55.5</v>
      </c>
      <c r="AC144" s="508">
        <f>Sayfa1!U895</f>
        <v>1574.65</v>
      </c>
    </row>
    <row r="145" spans="2:29" ht="19.95" customHeight="1" x14ac:dyDescent="0.3">
      <c r="B145" s="315" t="s">
        <v>116</v>
      </c>
      <c r="C145" s="25" t="s">
        <v>4</v>
      </c>
      <c r="D145" s="26" t="s">
        <v>25</v>
      </c>
      <c r="E145" s="27" t="s">
        <v>40</v>
      </c>
      <c r="F145" s="488">
        <f>Tablo142[[#This Row],[Verimlilik
%]]+Tablo142[[#This Row],[Net İşçilik Kapasite Kaybı %]]</f>
        <v>68.381743081371354</v>
      </c>
      <c r="G145" s="43">
        <f t="shared" si="33"/>
        <v>58.906319702602246</v>
      </c>
      <c r="H145" s="43">
        <f>Tablo142[[#This Row],[Duruş]]/Tablo142[[#This Row],[Net Kapasite Direkt]]*100</f>
        <v>9.4754233787691025</v>
      </c>
      <c r="I145" s="43">
        <f>(Tablo142[[#This Row],[Net Kapasite Direkt]]-Tablo142[[#This Row],[Toplam Girilen İşçilik]])/Tablo142[[#This Row],[Net Kapasite Direkt]]*100</f>
        <v>31.618256918628653</v>
      </c>
      <c r="J145" s="28">
        <f t="shared" si="22"/>
        <v>7.6893353941267382</v>
      </c>
      <c r="K145" s="29">
        <f t="shared" si="23"/>
        <v>2017.5</v>
      </c>
      <c r="L145" s="29">
        <f t="shared" si="23"/>
        <v>371.5</v>
      </c>
      <c r="M145" s="30">
        <f t="shared" si="24"/>
        <v>11.583372255955162</v>
      </c>
      <c r="N145" s="30">
        <f>Tablo142[[#This Row],[Ödünç İşçilik]]+Tablo142[[#This Row],[Üretilen Değer (Sap Verisi)]]</f>
        <v>1188.4350000000004</v>
      </c>
      <c r="O145" s="61">
        <f>SUMIFS(Tablo2[Eylül],Tablo2[BÖLÜM],Tablo142[[#This Row],[Bölüm]])/60</f>
        <v>191.16666666666666</v>
      </c>
      <c r="P145" s="31">
        <f>AC145+O145+Tablo142[[#This Row],[Ödünç İşçilik]]</f>
        <v>1379.6016666666669</v>
      </c>
      <c r="Q145" s="31">
        <f t="shared" si="25"/>
        <v>637.89833333333308</v>
      </c>
      <c r="R145" s="502">
        <v>10</v>
      </c>
      <c r="S145" s="502">
        <v>2</v>
      </c>
      <c r="T145" s="502">
        <v>2164</v>
      </c>
      <c r="U145" s="502">
        <v>424</v>
      </c>
      <c r="V145" s="502">
        <v>146.5</v>
      </c>
      <c r="W145" s="502">
        <v>52.5</v>
      </c>
      <c r="X145" s="363">
        <f>17895/60</f>
        <v>298.25</v>
      </c>
      <c r="Y145" s="502">
        <v>1803.5</v>
      </c>
      <c r="Z145" s="502">
        <v>337.5</v>
      </c>
      <c r="AA145" s="502">
        <v>214</v>
      </c>
      <c r="AB145" s="502">
        <v>34</v>
      </c>
      <c r="AC145" s="508">
        <f>Sayfa1!U896</f>
        <v>890.18500000000029</v>
      </c>
    </row>
    <row r="146" spans="2:29" ht="19.95" customHeight="1" x14ac:dyDescent="0.3">
      <c r="B146" s="315" t="s">
        <v>116</v>
      </c>
      <c r="C146" s="25" t="s">
        <v>4</v>
      </c>
      <c r="D146" s="26" t="s">
        <v>25</v>
      </c>
      <c r="E146" s="27" t="s">
        <v>35</v>
      </c>
      <c r="F146" s="488">
        <f>Tablo142[[#This Row],[Verimlilik
%]]+Tablo142[[#This Row],[Net İşçilik Kapasite Kaybı %]]</f>
        <v>99.886433728819711</v>
      </c>
      <c r="G146" s="43">
        <f t="shared" si="33"/>
        <v>85.048438010231848</v>
      </c>
      <c r="H146" s="43">
        <f>Tablo142[[#This Row],[Duruş]]/Tablo142[[#This Row],[Net Kapasite Direkt]]*100</f>
        <v>14.837995718587859</v>
      </c>
      <c r="I146" s="43">
        <f>(Tablo142[[#This Row],[Net Kapasite Direkt]]-Tablo142[[#This Row],[Toplam Girilen İşçilik]])/Tablo142[[#This Row],[Net Kapasite Direkt]]*100</f>
        <v>0.11356627118028176</v>
      </c>
      <c r="J146" s="28">
        <f t="shared" si="22"/>
        <v>10.329292267365661</v>
      </c>
      <c r="K146" s="29">
        <f t="shared" si="23"/>
        <v>4593.5</v>
      </c>
      <c r="L146" s="29">
        <f t="shared" si="23"/>
        <v>880</v>
      </c>
      <c r="M146" s="30">
        <f t="shared" si="24"/>
        <v>22.053740662281189</v>
      </c>
      <c r="N146" s="30">
        <f>Tablo142[[#This Row],[Ödünç İşçilik]]+Tablo142[[#This Row],[Üretilen Değer (Sap Verisi)]]</f>
        <v>3906.7</v>
      </c>
      <c r="O146" s="61">
        <f>SUMIFS(Tablo2[Eylül],Tablo2[BÖLÜM],Tablo142[[#This Row],[Bölüm]])/60</f>
        <v>681.58333333333337</v>
      </c>
      <c r="P146" s="31">
        <f>AC146+O146+Tablo142[[#This Row],[Ödünç İşçilik]]</f>
        <v>4588.2833333333338</v>
      </c>
      <c r="Q146" s="31">
        <f t="shared" si="25"/>
        <v>5.2166666666662422</v>
      </c>
      <c r="R146" s="502">
        <v>24</v>
      </c>
      <c r="S146" s="502">
        <v>4</v>
      </c>
      <c r="T146" s="502">
        <v>5168.5</v>
      </c>
      <c r="U146" s="502">
        <v>935.5</v>
      </c>
      <c r="V146" s="502">
        <v>575</v>
      </c>
      <c r="W146" s="502">
        <v>55.5</v>
      </c>
      <c r="X146" s="363">
        <f>11087/60</f>
        <v>184.78333333333333</v>
      </c>
      <c r="Y146" s="502">
        <v>3760</v>
      </c>
      <c r="Z146" s="502">
        <v>724.5</v>
      </c>
      <c r="AA146" s="502">
        <v>833.5</v>
      </c>
      <c r="AB146" s="502">
        <v>155.5</v>
      </c>
      <c r="AC146" s="508">
        <f>Sayfa1!U897</f>
        <v>3721.9166666666665</v>
      </c>
    </row>
    <row r="147" spans="2:29" ht="20.399999999999999" customHeight="1" x14ac:dyDescent="0.3">
      <c r="B147" s="315" t="s">
        <v>116</v>
      </c>
      <c r="C147" s="25" t="s">
        <v>4</v>
      </c>
      <c r="D147" s="26" t="s">
        <v>25</v>
      </c>
      <c r="E147" s="27" t="s">
        <v>25</v>
      </c>
      <c r="F147" s="488">
        <f>Tablo142[[#This Row],[Verimlilik
%]]+Tablo142[[#This Row],[Net İşçilik Kapasite Kaybı %]]</f>
        <v>65.81547868224429</v>
      </c>
      <c r="G147" s="43">
        <f t="shared" si="33"/>
        <v>64.59933274980655</v>
      </c>
      <c r="H147" s="43">
        <f>Tablo142[[#This Row],[Duruş]]/Tablo142[[#This Row],[Net Kapasite Direkt]]*100</f>
        <v>1.2161459324377466</v>
      </c>
      <c r="I147" s="43">
        <f>(Tablo142[[#This Row],[Net Kapasite Direkt]]-Tablo142[[#This Row],[Toplam Girilen İşçilik]])/Tablo142[[#This Row],[Net Kapasite Direkt]]*100</f>
        <v>34.18452131775571</v>
      </c>
      <c r="J147" s="28">
        <f t="shared" si="22"/>
        <v>7.1416326670552337</v>
      </c>
      <c r="K147" s="29">
        <f t="shared" si="23"/>
        <v>13138.5</v>
      </c>
      <c r="L147" s="29">
        <f t="shared" si="23"/>
        <v>403.5</v>
      </c>
      <c r="M147" s="30">
        <f t="shared" si="24"/>
        <v>21.742257383017936</v>
      </c>
      <c r="N147" s="30">
        <f>Tablo142[[#This Row],[Ödünç İşçilik]]+Tablo142[[#This Row],[Üretilen Değer (Sap Verisi)]]</f>
        <v>8487.3833333333332</v>
      </c>
      <c r="O147" s="61">
        <f>SUMIFS(Tablo2[Eylül],Tablo2[BÖLÜM],Tablo142[[#This Row],[Bölüm]])/60</f>
        <v>159.78333333333333</v>
      </c>
      <c r="P147" s="31">
        <f>AC147+O147+Tablo142[[#This Row],[Ödünç İşçilik]]</f>
        <v>8647.1666666666661</v>
      </c>
      <c r="Q147" s="31">
        <f t="shared" si="25"/>
        <v>4491.3333333333339</v>
      </c>
      <c r="R147" s="502">
        <v>62</v>
      </c>
      <c r="S147" s="502">
        <v>2</v>
      </c>
      <c r="T147" s="502">
        <f>14095</f>
        <v>14095</v>
      </c>
      <c r="U147" s="502">
        <v>488.5</v>
      </c>
      <c r="V147" s="502">
        <v>956.5</v>
      </c>
      <c r="W147" s="502">
        <v>85</v>
      </c>
      <c r="X147" s="363">
        <f>620/60+180/60</f>
        <v>13.333333333333334</v>
      </c>
      <c r="Y147" s="502">
        <v>10818.5</v>
      </c>
      <c r="Z147" s="502">
        <v>305</v>
      </c>
      <c r="AA147" s="502">
        <v>2320</v>
      </c>
      <c r="AB147" s="502">
        <v>98.5</v>
      </c>
      <c r="AC147" s="508">
        <f>Sayfa1!U898</f>
        <v>8474.0499999999993</v>
      </c>
    </row>
    <row r="148" spans="2:29" ht="19.95" customHeight="1" x14ac:dyDescent="0.3">
      <c r="B148" s="315" t="s">
        <v>116</v>
      </c>
      <c r="C148" s="25" t="s">
        <v>4</v>
      </c>
      <c r="D148" s="26" t="s">
        <v>25</v>
      </c>
      <c r="E148" s="27" t="s">
        <v>23</v>
      </c>
      <c r="F148" s="488">
        <f>Tablo142[[#This Row],[Verimlilik
%]]+Tablo142[[#This Row],[Net İşçilik Kapasite Kaybı %]]</f>
        <v>67.693407613741925</v>
      </c>
      <c r="G148" s="43">
        <f t="shared" si="33"/>
        <v>67.693407613741925</v>
      </c>
      <c r="H148" s="43">
        <f>Tablo142[[#This Row],[Duruş]]/Tablo142[[#This Row],[Net Kapasite Direkt]]*100</f>
        <v>0</v>
      </c>
      <c r="I148" s="43">
        <f>(Tablo142[[#This Row],[Net Kapasite Direkt]]-Tablo142[[#This Row],[Toplam Girilen İşçilik]])/Tablo142[[#This Row],[Net Kapasite Direkt]]*100</f>
        <v>32.306592386258082</v>
      </c>
      <c r="J148" s="28">
        <f t="shared" si="22"/>
        <v>7.6593312374964277</v>
      </c>
      <c r="K148" s="29">
        <f t="shared" si="23"/>
        <v>1615.5</v>
      </c>
      <c r="L148" s="29">
        <f t="shared" si="23"/>
        <v>0</v>
      </c>
      <c r="M148" s="30">
        <f t="shared" si="24"/>
        <v>31.234768480909832</v>
      </c>
      <c r="N148" s="30">
        <f>Tablo142[[#This Row],[Ödünç İşçilik]]+Tablo142[[#This Row],[Üretilen Değer (Sap Verisi)]]</f>
        <v>1093.5870000000007</v>
      </c>
      <c r="O148" s="61">
        <f>SUMIFS(Tablo2[Eylül],Tablo2[BÖLÜM],Tablo142[[#This Row],[Bölüm]])/60</f>
        <v>0</v>
      </c>
      <c r="P148" s="31">
        <f>AC148+O148+Tablo142[[#This Row],[Ödünç İşçilik]]</f>
        <v>1093.5870000000007</v>
      </c>
      <c r="Q148" s="31">
        <f t="shared" si="25"/>
        <v>521.91299999999933</v>
      </c>
      <c r="R148" s="502">
        <v>7</v>
      </c>
      <c r="S148" s="502"/>
      <c r="T148" s="502">
        <v>1749.5</v>
      </c>
      <c r="U148" s="502"/>
      <c r="V148" s="502">
        <v>134</v>
      </c>
      <c r="W148" s="502"/>
      <c r="X148" s="363"/>
      <c r="Y148" s="502">
        <v>1231</v>
      </c>
      <c r="Z148" s="502"/>
      <c r="AA148" s="502">
        <v>384.5</v>
      </c>
      <c r="AB148" s="502"/>
      <c r="AC148" s="508">
        <f>Sayfa1!U899</f>
        <v>1093.5870000000007</v>
      </c>
    </row>
    <row r="149" spans="2:29" ht="19.95" customHeight="1" thickBot="1" x14ac:dyDescent="0.35">
      <c r="B149" s="317" t="s">
        <v>116</v>
      </c>
      <c r="C149" s="232" t="s">
        <v>4</v>
      </c>
      <c r="D149" s="233" t="s">
        <v>25</v>
      </c>
      <c r="E149" s="234" t="s">
        <v>20</v>
      </c>
      <c r="F149" s="489">
        <f>Tablo142[[#This Row],[Verimlilik
%]]+Tablo142[[#This Row],[Net İşçilik Kapasite Kaybı %]]</f>
        <v>49.263513816113573</v>
      </c>
      <c r="G149" s="236">
        <f t="shared" si="33"/>
        <v>49.263513816113573</v>
      </c>
      <c r="H149" s="236">
        <f>Tablo142[[#This Row],[Duruş]]/Tablo142[[#This Row],[Net Kapasite Direkt]]*100</f>
        <v>0</v>
      </c>
      <c r="I149" s="236">
        <f>(Tablo142[[#This Row],[Net Kapasite Direkt]]-Tablo142[[#This Row],[Toplam Girilen İşçilik]])/Tablo142[[#This Row],[Net Kapasite Direkt]]*100</f>
        <v>50.73648618388642</v>
      </c>
      <c r="J149" s="237">
        <f t="shared" si="22"/>
        <v>10.712704736609119</v>
      </c>
      <c r="K149" s="238">
        <f t="shared" si="23"/>
        <v>7443</v>
      </c>
      <c r="L149" s="238">
        <f t="shared" si="23"/>
        <v>625</v>
      </c>
      <c r="M149" s="239">
        <f t="shared" si="24"/>
        <v>27.769419589832921</v>
      </c>
      <c r="N149" s="239">
        <f>Tablo142[[#This Row],[Ödünç İşçilik]]+Tablo142[[#This Row],[Üretilen Değer (Sap Verisi)]]</f>
        <v>3666.6833333333334</v>
      </c>
      <c r="O149" s="240">
        <f>SUMIFS(Tablo2[Eylül],Tablo2[BÖLÜM],Tablo142[[#This Row],[Bölüm]])/60</f>
        <v>0</v>
      </c>
      <c r="P149" s="241">
        <f>AC149+O149+Tablo142[[#This Row],[Ödünç İşçilik]]</f>
        <v>3666.6833333333334</v>
      </c>
      <c r="Q149" s="241">
        <f t="shared" si="25"/>
        <v>3776.3166666666666</v>
      </c>
      <c r="R149" s="505">
        <v>35</v>
      </c>
      <c r="S149" s="505">
        <v>3</v>
      </c>
      <c r="T149" s="505">
        <v>8308.5</v>
      </c>
      <c r="U149" s="505">
        <v>727.5</v>
      </c>
      <c r="V149" s="505">
        <v>865.5</v>
      </c>
      <c r="W149" s="505">
        <v>102.5</v>
      </c>
      <c r="X149" s="319"/>
      <c r="Y149" s="505">
        <v>5832</v>
      </c>
      <c r="Z149" s="505">
        <v>482.5</v>
      </c>
      <c r="AA149" s="505">
        <v>1611</v>
      </c>
      <c r="AB149" s="505">
        <v>142.5</v>
      </c>
      <c r="AC149" s="508">
        <f>Sayfa1!U900</f>
        <v>3666.6833333333334</v>
      </c>
    </row>
    <row r="150" spans="2:29" ht="19.95" customHeight="1" x14ac:dyDescent="0.3">
      <c r="B150" s="315" t="s">
        <v>117</v>
      </c>
      <c r="C150" s="25" t="s">
        <v>4</v>
      </c>
      <c r="D150" s="26" t="s">
        <v>108</v>
      </c>
      <c r="E150" s="27" t="s">
        <v>5</v>
      </c>
      <c r="F150" s="316" t="e">
        <f>Tablo142[[#This Row],[Verimlilik
%]]+Tablo142[[#This Row],[Net İşçilik Kapasite Kaybı %]]</f>
        <v>#DIV/0!</v>
      </c>
      <c r="G150" s="43" t="e">
        <f t="shared" si="33"/>
        <v>#DIV/0!</v>
      </c>
      <c r="H150" s="43" t="e">
        <f>Tablo142[[#This Row],[Duruş]]/Tablo142[[#This Row],[Net Kapasite Direkt]]*100</f>
        <v>#DIV/0!</v>
      </c>
      <c r="I150" s="43" t="e">
        <f>(Tablo142[[#This Row],[Net Kapasite Direkt]]-Tablo142[[#This Row],[Toplam Girilen İşçilik]])/Tablo142[[#This Row],[Net Kapasite Direkt]]*100</f>
        <v>#DIV/0!</v>
      </c>
      <c r="J150" s="28" t="e">
        <f t="shared" si="22"/>
        <v>#DIV/0!</v>
      </c>
      <c r="K150" s="29">
        <f t="shared" si="23"/>
        <v>0</v>
      </c>
      <c r="L150" s="29">
        <f t="shared" si="23"/>
        <v>0</v>
      </c>
      <c r="M150" s="30" t="e">
        <f t="shared" si="24"/>
        <v>#DIV/0!</v>
      </c>
      <c r="N150" s="30">
        <f>Tablo142[[#This Row],[Ödünç İşçilik]]+Tablo142[[#This Row],[Üretilen Değer (Sap Verisi)]]</f>
        <v>0</v>
      </c>
      <c r="O150" s="61">
        <f>SUMIFS(Tablo2[Ekim],Tablo2[BÖLÜM],Tablo142[[#This Row],[Bölüm]])/60</f>
        <v>0</v>
      </c>
      <c r="P150" s="31">
        <f>AC150+O150+Tablo142[[#This Row],[Ödünç İşçilik]]</f>
        <v>0</v>
      </c>
      <c r="Q150" s="31">
        <f t="shared" si="25"/>
        <v>0</v>
      </c>
      <c r="R150" s="147"/>
      <c r="S150" s="148"/>
      <c r="T150" s="148"/>
      <c r="U150" s="148"/>
      <c r="V150" s="148"/>
      <c r="W150" s="148"/>
      <c r="X150" s="462"/>
      <c r="Y150" s="148"/>
      <c r="Z150" s="148"/>
      <c r="AA150" s="148"/>
      <c r="AB150" s="148"/>
      <c r="AC150" s="153"/>
    </row>
    <row r="151" spans="2:29" ht="19.95" customHeight="1" x14ac:dyDescent="0.3">
      <c r="B151" s="315" t="s">
        <v>117</v>
      </c>
      <c r="C151" s="25" t="s">
        <v>4</v>
      </c>
      <c r="D151" s="26" t="s">
        <v>108</v>
      </c>
      <c r="E151" s="27" t="s">
        <v>46</v>
      </c>
      <c r="F151" s="316" t="e">
        <f>Tablo142[[#This Row],[Verimlilik
%]]+Tablo142[[#This Row],[Net İşçilik Kapasite Kaybı %]]</f>
        <v>#DIV/0!</v>
      </c>
      <c r="G151" s="43" t="e">
        <f t="shared" si="33"/>
        <v>#DIV/0!</v>
      </c>
      <c r="H151" s="43" t="e">
        <f>Tablo142[[#This Row],[Duruş]]/Tablo142[[#This Row],[Net Kapasite Direkt]]*100</f>
        <v>#DIV/0!</v>
      </c>
      <c r="I151" s="43" t="e">
        <f>(Tablo142[[#This Row],[Net Kapasite Direkt]]-Tablo142[[#This Row],[Toplam Girilen İşçilik]])/Tablo142[[#This Row],[Net Kapasite Direkt]]*100</f>
        <v>#DIV/0!</v>
      </c>
      <c r="J151" s="28" t="e">
        <f t="shared" si="22"/>
        <v>#DIV/0!</v>
      </c>
      <c r="K151" s="29">
        <f t="shared" si="23"/>
        <v>0</v>
      </c>
      <c r="L151" s="29">
        <f t="shared" si="23"/>
        <v>0</v>
      </c>
      <c r="M151" s="30" t="e">
        <f t="shared" si="24"/>
        <v>#DIV/0!</v>
      </c>
      <c r="N151" s="30">
        <f>Tablo142[[#This Row],[Ödünç İşçilik]]+Tablo142[[#This Row],[Üretilen Değer (Sap Verisi)]]</f>
        <v>0</v>
      </c>
      <c r="O151" s="61">
        <f>SUMIFS(Tablo2[Ekim],Tablo2[BÖLÜM],Tablo142[[#This Row],[Bölüm]])/60</f>
        <v>0</v>
      </c>
      <c r="P151" s="31">
        <f>AC151+O151+Tablo142[[#This Row],[Ödünç İşçilik]]</f>
        <v>0</v>
      </c>
      <c r="Q151" s="31">
        <f t="shared" si="25"/>
        <v>0</v>
      </c>
      <c r="R151" s="147"/>
      <c r="S151" s="148"/>
      <c r="T151" s="148"/>
      <c r="U151" s="148"/>
      <c r="V151" s="148"/>
      <c r="W151" s="148"/>
      <c r="X151" s="363"/>
      <c r="Y151" s="148"/>
      <c r="Z151" s="148"/>
      <c r="AA151" s="148"/>
      <c r="AB151" s="148"/>
      <c r="AC151" s="153"/>
    </row>
    <row r="152" spans="2:29" ht="19.95" customHeight="1" x14ac:dyDescent="0.3">
      <c r="B152" s="315" t="s">
        <v>117</v>
      </c>
      <c r="C152" s="25" t="s">
        <v>4</v>
      </c>
      <c r="D152" s="26" t="s">
        <v>108</v>
      </c>
      <c r="E152" s="27" t="s">
        <v>13</v>
      </c>
      <c r="F152" s="316" t="e">
        <f>Tablo142[[#This Row],[Verimlilik
%]]+Tablo142[[#This Row],[Net İşçilik Kapasite Kaybı %]]</f>
        <v>#DIV/0!</v>
      </c>
      <c r="G152" s="43" t="e">
        <f t="shared" si="33"/>
        <v>#DIV/0!</v>
      </c>
      <c r="H152" s="43" t="e">
        <f>Tablo142[[#This Row],[Duruş]]/Tablo142[[#This Row],[Net Kapasite Direkt]]*100</f>
        <v>#DIV/0!</v>
      </c>
      <c r="I152" s="43" t="e">
        <f>(Tablo142[[#This Row],[Net Kapasite Direkt]]-Tablo142[[#This Row],[Toplam Girilen İşçilik]])/Tablo142[[#This Row],[Net Kapasite Direkt]]*100</f>
        <v>#DIV/0!</v>
      </c>
      <c r="J152" s="28" t="e">
        <f t="shared" si="22"/>
        <v>#DIV/0!</v>
      </c>
      <c r="K152" s="29">
        <f t="shared" si="23"/>
        <v>0</v>
      </c>
      <c r="L152" s="29">
        <f t="shared" si="23"/>
        <v>0</v>
      </c>
      <c r="M152" s="30" t="e">
        <f t="shared" si="24"/>
        <v>#DIV/0!</v>
      </c>
      <c r="N152" s="30">
        <f>Tablo142[[#This Row],[Ödünç İşçilik]]+Tablo142[[#This Row],[Üretilen Değer (Sap Verisi)]]</f>
        <v>0</v>
      </c>
      <c r="O152" s="61">
        <f>SUMIFS(Tablo2[Ekim],Tablo2[BÖLÜM],Tablo142[[#This Row],[Bölüm]])/60</f>
        <v>0</v>
      </c>
      <c r="P152" s="31">
        <f>AC152+O152+Tablo142[[#This Row],[Ödünç İşçilik]]</f>
        <v>0</v>
      </c>
      <c r="Q152" s="31">
        <f t="shared" si="25"/>
        <v>0</v>
      </c>
      <c r="R152" s="147"/>
      <c r="S152" s="148"/>
      <c r="T152" s="148"/>
      <c r="U152" s="148"/>
      <c r="V152" s="148"/>
      <c r="W152" s="148"/>
      <c r="X152" s="363"/>
      <c r="Y152" s="148"/>
      <c r="Z152" s="148"/>
      <c r="AA152" s="148"/>
      <c r="AB152" s="148"/>
      <c r="AC152" s="451"/>
    </row>
    <row r="153" spans="2:29" ht="19.95" customHeight="1" x14ac:dyDescent="0.3">
      <c r="B153" s="315" t="s">
        <v>117</v>
      </c>
      <c r="C153" s="25" t="s">
        <v>4</v>
      </c>
      <c r="D153" s="26" t="s">
        <v>108</v>
      </c>
      <c r="E153" s="27" t="s">
        <v>9</v>
      </c>
      <c r="F153" s="316" t="e">
        <f>Tablo142[[#This Row],[Verimlilik
%]]+Tablo142[[#This Row],[Net İşçilik Kapasite Kaybı %]]</f>
        <v>#DIV/0!</v>
      </c>
      <c r="G153" s="43" t="e">
        <f t="shared" si="33"/>
        <v>#DIV/0!</v>
      </c>
      <c r="H153" s="43" t="e">
        <f>Tablo142[[#This Row],[Duruş]]/Tablo142[[#This Row],[Net Kapasite Direkt]]*100</f>
        <v>#DIV/0!</v>
      </c>
      <c r="I153" s="43" t="e">
        <f>(Tablo142[[#This Row],[Net Kapasite Direkt]]-Tablo142[[#This Row],[Toplam Girilen İşçilik]])/Tablo142[[#This Row],[Net Kapasite Direkt]]*100</f>
        <v>#DIV/0!</v>
      </c>
      <c r="J153" s="28" t="e">
        <f t="shared" si="22"/>
        <v>#DIV/0!</v>
      </c>
      <c r="K153" s="29">
        <f t="shared" si="23"/>
        <v>0</v>
      </c>
      <c r="L153" s="29">
        <f t="shared" si="23"/>
        <v>0</v>
      </c>
      <c r="M153" s="30" t="e">
        <f t="shared" si="24"/>
        <v>#DIV/0!</v>
      </c>
      <c r="N153" s="30">
        <f>Tablo142[[#This Row],[Ödünç İşçilik]]+Tablo142[[#This Row],[Üretilen Değer (Sap Verisi)]]</f>
        <v>0</v>
      </c>
      <c r="O153" s="61">
        <f>SUMIFS(Tablo2[Ekim],Tablo2[BÖLÜM],Tablo142[[#This Row],[Bölüm]])/60</f>
        <v>0</v>
      </c>
      <c r="P153" s="31">
        <f>AC153+O153+Tablo142[[#This Row],[Ödünç İşçilik]]</f>
        <v>0</v>
      </c>
      <c r="Q153" s="31">
        <f t="shared" si="25"/>
        <v>0</v>
      </c>
      <c r="R153" s="147"/>
      <c r="S153" s="148"/>
      <c r="T153" s="148"/>
      <c r="U153" s="148"/>
      <c r="V153" s="148"/>
      <c r="W153" s="148"/>
      <c r="X153" s="363"/>
      <c r="Y153" s="148"/>
      <c r="Z153" s="148"/>
      <c r="AA153" s="148"/>
      <c r="AB153" s="148"/>
      <c r="AC153" s="153"/>
    </row>
    <row r="154" spans="2:29" ht="19.95" customHeight="1" x14ac:dyDescent="0.3">
      <c r="B154" s="315" t="s">
        <v>117</v>
      </c>
      <c r="C154" s="25" t="s">
        <v>1011</v>
      </c>
      <c r="D154" s="26" t="s">
        <v>108</v>
      </c>
      <c r="E154" s="27" t="s">
        <v>1015</v>
      </c>
      <c r="F154" s="316" t="e">
        <f>Tablo142[[#This Row],[Verimlilik
%]]+Tablo142[[#This Row],[Net İşçilik Kapasite Kaybı %]]</f>
        <v>#DIV/0!</v>
      </c>
      <c r="G154" s="43" t="e">
        <f t="shared" si="33"/>
        <v>#DIV/0!</v>
      </c>
      <c r="H154" s="43" t="e">
        <f>Tablo142[[#This Row],[Duruş]]/Tablo142[[#This Row],[Net Kapasite Direkt]]*100</f>
        <v>#DIV/0!</v>
      </c>
      <c r="I154" s="43" t="e">
        <f>(Tablo142[[#This Row],[Net Kapasite Direkt]]-Tablo142[[#This Row],[Toplam Girilen İşçilik]])/Tablo142[[#This Row],[Net Kapasite Direkt]]*100</f>
        <v>#DIV/0!</v>
      </c>
      <c r="J154" s="28" t="e">
        <f t="shared" si="22"/>
        <v>#DIV/0!</v>
      </c>
      <c r="K154" s="29">
        <f t="shared" si="23"/>
        <v>0</v>
      </c>
      <c r="L154" s="29">
        <f t="shared" si="23"/>
        <v>0</v>
      </c>
      <c r="M154" s="30" t="e">
        <f t="shared" si="24"/>
        <v>#DIV/0!</v>
      </c>
      <c r="N154" s="30">
        <f>Tablo142[[#This Row],[Ödünç İşçilik]]+Tablo142[[#This Row],[Üretilen Değer (Sap Verisi)]]</f>
        <v>0</v>
      </c>
      <c r="O154" s="61">
        <f>SUMIFS(Tablo2[Ekim],Tablo2[BÖLÜM],Tablo142[[#This Row],[Bölüm]])/60</f>
        <v>0</v>
      </c>
      <c r="P154" s="31">
        <f>AC154+O154+Tablo142[[#This Row],[Ödünç İşçilik]]</f>
        <v>0</v>
      </c>
      <c r="Q154" s="31">
        <f t="shared" si="25"/>
        <v>0</v>
      </c>
      <c r="R154" s="147"/>
      <c r="S154" s="148"/>
      <c r="T154" s="148"/>
      <c r="U154" s="148"/>
      <c r="V154" s="148"/>
      <c r="W154" s="148"/>
      <c r="X154" s="363"/>
      <c r="Y154" s="148"/>
      <c r="Z154" s="148"/>
      <c r="AA154" s="148"/>
      <c r="AB154" s="148"/>
      <c r="AC154" s="153"/>
    </row>
    <row r="155" spans="2:29" ht="19.95" customHeight="1" x14ac:dyDescent="0.3">
      <c r="B155" s="315" t="s">
        <v>117</v>
      </c>
      <c r="C155" s="25" t="s">
        <v>1011</v>
      </c>
      <c r="D155" s="26" t="s">
        <v>108</v>
      </c>
      <c r="E155" s="27" t="s">
        <v>1016</v>
      </c>
      <c r="F155" s="316" t="e">
        <f>Tablo142[[#This Row],[Verimlilik
%]]+Tablo142[[#This Row],[Net İşçilik Kapasite Kaybı %]]</f>
        <v>#DIV/0!</v>
      </c>
      <c r="G155" s="43" t="e">
        <f t="shared" si="33"/>
        <v>#DIV/0!</v>
      </c>
      <c r="H155" s="43" t="e">
        <f>Tablo142[[#This Row],[Duruş]]/Tablo142[[#This Row],[Net Kapasite Direkt]]*100</f>
        <v>#DIV/0!</v>
      </c>
      <c r="I155" s="43" t="e">
        <f>(Tablo142[[#This Row],[Net Kapasite Direkt]]-Tablo142[[#This Row],[Toplam Girilen İşçilik]])/Tablo142[[#This Row],[Net Kapasite Direkt]]*100</f>
        <v>#DIV/0!</v>
      </c>
      <c r="J155" s="28" t="e">
        <f t="shared" si="22"/>
        <v>#DIV/0!</v>
      </c>
      <c r="K155" s="29">
        <f t="shared" si="23"/>
        <v>0</v>
      </c>
      <c r="L155" s="29">
        <f t="shared" si="23"/>
        <v>0</v>
      </c>
      <c r="M155" s="30" t="e">
        <f t="shared" si="24"/>
        <v>#DIV/0!</v>
      </c>
      <c r="N155" s="30">
        <f>Tablo142[[#This Row],[Ödünç İşçilik]]+Tablo142[[#This Row],[Üretilen Değer (Sap Verisi)]]</f>
        <v>0</v>
      </c>
      <c r="O155" s="61">
        <f>SUMIFS(Tablo2[Ekim],Tablo2[BÖLÜM],Tablo142[[#This Row],[Bölüm]])/60</f>
        <v>0</v>
      </c>
      <c r="P155" s="31">
        <f>AC155+O155+Tablo142[[#This Row],[Ödünç İşçilik]]</f>
        <v>0</v>
      </c>
      <c r="Q155" s="31">
        <f t="shared" si="25"/>
        <v>0</v>
      </c>
      <c r="R155" s="147"/>
      <c r="S155" s="148"/>
      <c r="T155" s="148"/>
      <c r="U155" s="148"/>
      <c r="V155" s="148"/>
      <c r="W155" s="148"/>
      <c r="X155" s="363"/>
      <c r="Y155" s="148"/>
      <c r="Z155" s="148"/>
      <c r="AA155" s="148"/>
      <c r="AB155" s="148"/>
      <c r="AC155" s="460"/>
    </row>
    <row r="156" spans="2:29" ht="19.95" customHeight="1" x14ac:dyDescent="0.3">
      <c r="B156" s="315" t="s">
        <v>117</v>
      </c>
      <c r="C156" s="25" t="s">
        <v>1011</v>
      </c>
      <c r="D156" s="26" t="s">
        <v>108</v>
      </c>
      <c r="E156" s="27" t="s">
        <v>1017</v>
      </c>
      <c r="F156" s="316" t="e">
        <f>Tablo142[[#This Row],[Verimlilik
%]]+Tablo142[[#This Row],[Net İşçilik Kapasite Kaybı %]]</f>
        <v>#DIV/0!</v>
      </c>
      <c r="G156" s="43" t="e">
        <f t="shared" si="33"/>
        <v>#DIV/0!</v>
      </c>
      <c r="H156" s="43" t="e">
        <f>Tablo142[[#This Row],[Duruş]]/Tablo142[[#This Row],[Net Kapasite Direkt]]*100</f>
        <v>#DIV/0!</v>
      </c>
      <c r="I156" s="43" t="e">
        <f>(Tablo142[[#This Row],[Net Kapasite Direkt]]-Tablo142[[#This Row],[Toplam Girilen İşçilik]])/Tablo142[[#This Row],[Net Kapasite Direkt]]*100</f>
        <v>#DIV/0!</v>
      </c>
      <c r="J156" s="28" t="e">
        <f t="shared" si="22"/>
        <v>#DIV/0!</v>
      </c>
      <c r="K156" s="29">
        <f t="shared" si="23"/>
        <v>0</v>
      </c>
      <c r="L156" s="29">
        <f t="shared" si="23"/>
        <v>0</v>
      </c>
      <c r="M156" s="30" t="e">
        <f t="shared" si="24"/>
        <v>#DIV/0!</v>
      </c>
      <c r="N156" s="30">
        <f>Tablo142[[#This Row],[Ödünç İşçilik]]+Tablo142[[#This Row],[Üretilen Değer (Sap Verisi)]]</f>
        <v>0</v>
      </c>
      <c r="O156" s="61">
        <f>SUMIFS(Tablo2[Ekim],Tablo2[BÖLÜM],Tablo142[[#This Row],[Bölüm]])/60</f>
        <v>0</v>
      </c>
      <c r="P156" s="31">
        <f>AC156+O156+Tablo142[[#This Row],[Ödünç İşçilik]]</f>
        <v>0</v>
      </c>
      <c r="Q156" s="31">
        <f t="shared" si="25"/>
        <v>0</v>
      </c>
      <c r="R156" s="147"/>
      <c r="S156" s="148"/>
      <c r="T156" s="148"/>
      <c r="U156" s="148"/>
      <c r="V156" s="148"/>
      <c r="W156" s="148"/>
      <c r="X156" s="363"/>
      <c r="Y156" s="148"/>
      <c r="Z156" s="148"/>
      <c r="AA156" s="148"/>
      <c r="AB156" s="148"/>
      <c r="AC156" s="460"/>
    </row>
    <row r="157" spans="2:29" ht="19.95" customHeight="1" x14ac:dyDescent="0.3">
      <c r="B157" s="315" t="s">
        <v>117</v>
      </c>
      <c r="C157" s="25" t="s">
        <v>1011</v>
      </c>
      <c r="D157" s="26" t="s">
        <v>108</v>
      </c>
      <c r="E157" s="27" t="s">
        <v>1014</v>
      </c>
      <c r="F157" s="316" t="e">
        <f>Tablo142[[#This Row],[Verimlilik
%]]+Tablo142[[#This Row],[Net İşçilik Kapasite Kaybı %]]</f>
        <v>#DIV/0!</v>
      </c>
      <c r="G157" s="43" t="e">
        <f t="shared" si="33"/>
        <v>#DIV/0!</v>
      </c>
      <c r="H157" s="43" t="e">
        <f>Tablo142[[#This Row],[Duruş]]/Tablo142[[#This Row],[Net Kapasite Direkt]]*100</f>
        <v>#DIV/0!</v>
      </c>
      <c r="I157" s="43" t="e">
        <f>(Tablo142[[#This Row],[Net Kapasite Direkt]]-Tablo142[[#This Row],[Toplam Girilen İşçilik]])/Tablo142[[#This Row],[Net Kapasite Direkt]]*100</f>
        <v>#DIV/0!</v>
      </c>
      <c r="J157" s="28" t="e">
        <f t="shared" si="22"/>
        <v>#DIV/0!</v>
      </c>
      <c r="K157" s="29">
        <f t="shared" si="23"/>
        <v>0</v>
      </c>
      <c r="L157" s="29">
        <f t="shared" si="23"/>
        <v>0</v>
      </c>
      <c r="M157" s="30" t="e">
        <f t="shared" si="24"/>
        <v>#DIV/0!</v>
      </c>
      <c r="N157" s="30">
        <f>Tablo142[[#This Row],[Ödünç İşçilik]]+Tablo142[[#This Row],[Üretilen Değer (Sap Verisi)]]</f>
        <v>0</v>
      </c>
      <c r="O157" s="61">
        <f>SUMIFS(Tablo2[Ekim],Tablo2[BÖLÜM],Tablo142[[#This Row],[Bölüm]])/60</f>
        <v>0</v>
      </c>
      <c r="P157" s="31">
        <f>AC157+O157+Tablo142[[#This Row],[Ödünç İşçilik]]</f>
        <v>0</v>
      </c>
      <c r="Q157" s="31">
        <f t="shared" si="25"/>
        <v>0</v>
      </c>
      <c r="R157" s="147"/>
      <c r="S157" s="148"/>
      <c r="T157" s="148"/>
      <c r="U157" s="148"/>
      <c r="V157" s="148"/>
      <c r="W157" s="148"/>
      <c r="X157" s="363"/>
      <c r="Y157" s="148"/>
      <c r="Z157" s="148"/>
      <c r="AA157" s="148"/>
      <c r="AB157" s="148"/>
      <c r="AC157" s="460"/>
    </row>
    <row r="158" spans="2:29" ht="19.95" customHeight="1" x14ac:dyDescent="0.3">
      <c r="B158" s="315" t="s">
        <v>117</v>
      </c>
      <c r="C158" s="25" t="s">
        <v>1011</v>
      </c>
      <c r="D158" s="26" t="s">
        <v>108</v>
      </c>
      <c r="E158" s="27" t="s">
        <v>26</v>
      </c>
      <c r="F158" s="316" t="e">
        <f>Tablo142[[#This Row],[Verimlilik
%]]+Tablo142[[#This Row],[Net İşçilik Kapasite Kaybı %]]</f>
        <v>#DIV/0!</v>
      </c>
      <c r="G158" s="43" t="e">
        <f t="shared" si="33"/>
        <v>#DIV/0!</v>
      </c>
      <c r="H158" s="43" t="e">
        <f>Tablo142[[#This Row],[Duruş]]/Tablo142[[#This Row],[Net Kapasite Direkt]]*100</f>
        <v>#DIV/0!</v>
      </c>
      <c r="I158" s="43" t="e">
        <f>(Tablo142[[#This Row],[Net Kapasite Direkt]]-Tablo142[[#This Row],[Toplam Girilen İşçilik]])/Tablo142[[#This Row],[Net Kapasite Direkt]]*100</f>
        <v>#DIV/0!</v>
      </c>
      <c r="J158" s="28" t="e">
        <f t="shared" si="22"/>
        <v>#DIV/0!</v>
      </c>
      <c r="K158" s="29">
        <f t="shared" si="23"/>
        <v>0</v>
      </c>
      <c r="L158" s="29">
        <f t="shared" si="23"/>
        <v>0</v>
      </c>
      <c r="M158" s="30" t="e">
        <f t="shared" si="24"/>
        <v>#DIV/0!</v>
      </c>
      <c r="N158" s="30">
        <f>Tablo142[[#This Row],[Ödünç İşçilik]]+Tablo142[[#This Row],[Üretilen Değer (Sap Verisi)]]</f>
        <v>0</v>
      </c>
      <c r="O158" s="61">
        <f>SUMIFS(Tablo2[Ekim],Tablo2[BÖLÜM],Tablo142[[#This Row],[Bölüm]])/60</f>
        <v>0</v>
      </c>
      <c r="P158" s="31">
        <f>AC158+O158+Tablo142[[#This Row],[Ödünç İşçilik]]</f>
        <v>0</v>
      </c>
      <c r="Q158" s="31">
        <f t="shared" si="25"/>
        <v>0</v>
      </c>
      <c r="R158" s="147"/>
      <c r="S158" s="148"/>
      <c r="T158" s="148"/>
      <c r="U158" s="148"/>
      <c r="V158" s="148"/>
      <c r="W158" s="148"/>
      <c r="X158" s="363"/>
      <c r="Y158" s="148"/>
      <c r="Z158" s="148"/>
      <c r="AA158" s="148"/>
      <c r="AB158" s="148"/>
      <c r="AC158" s="460"/>
    </row>
    <row r="159" spans="2:29" ht="19.95" customHeight="1" x14ac:dyDescent="0.3">
      <c r="B159" s="315" t="s">
        <v>117</v>
      </c>
      <c r="C159" s="25" t="s">
        <v>4</v>
      </c>
      <c r="D159" s="26" t="s">
        <v>108</v>
      </c>
      <c r="E159" s="27" t="s">
        <v>17</v>
      </c>
      <c r="F159" s="316" t="e">
        <f>Tablo142[[#This Row],[Verimlilik
%]]+Tablo142[[#This Row],[Net İşçilik Kapasite Kaybı %]]</f>
        <v>#DIV/0!</v>
      </c>
      <c r="G159" s="43" t="e">
        <f t="shared" si="33"/>
        <v>#DIV/0!</v>
      </c>
      <c r="H159" s="43" t="e">
        <f>Tablo142[[#This Row],[Duruş]]/Tablo142[[#This Row],[Net Kapasite Direkt]]*100</f>
        <v>#DIV/0!</v>
      </c>
      <c r="I159" s="43" t="e">
        <f>(Tablo142[[#This Row],[Net Kapasite Direkt]]-Tablo142[[#This Row],[Toplam Girilen İşçilik]])/Tablo142[[#This Row],[Net Kapasite Direkt]]*100</f>
        <v>#DIV/0!</v>
      </c>
      <c r="J159" s="28" t="e">
        <f t="shared" si="22"/>
        <v>#DIV/0!</v>
      </c>
      <c r="K159" s="29">
        <f t="shared" si="23"/>
        <v>0</v>
      </c>
      <c r="L159" s="29">
        <f t="shared" si="23"/>
        <v>0</v>
      </c>
      <c r="M159" s="30" t="e">
        <f t="shared" si="24"/>
        <v>#DIV/0!</v>
      </c>
      <c r="N159" s="30">
        <f>Tablo142[[#This Row],[Ödünç İşçilik]]+Tablo142[[#This Row],[Üretilen Değer (Sap Verisi)]]</f>
        <v>0</v>
      </c>
      <c r="O159" s="61">
        <f>SUMIFS(Tablo2[Ekim],Tablo2[BÖLÜM],Tablo142[[#This Row],[Bölüm]])/60</f>
        <v>0</v>
      </c>
      <c r="P159" s="31">
        <f>AC159+O159+Tablo142[[#This Row],[Ödünç İşçilik]]</f>
        <v>0</v>
      </c>
      <c r="Q159" s="31">
        <f t="shared" si="25"/>
        <v>0</v>
      </c>
      <c r="R159" s="147"/>
      <c r="S159" s="148"/>
      <c r="T159" s="148"/>
      <c r="U159" s="148"/>
      <c r="V159" s="148"/>
      <c r="W159" s="148"/>
      <c r="X159" s="363"/>
      <c r="Y159" s="148"/>
      <c r="Z159" s="148"/>
      <c r="AA159" s="148"/>
      <c r="AB159" s="148"/>
      <c r="AC159" s="460"/>
    </row>
    <row r="160" spans="2:29" ht="19.95" customHeight="1" x14ac:dyDescent="0.3">
      <c r="B160" s="315" t="s">
        <v>117</v>
      </c>
      <c r="C160" s="25" t="s">
        <v>4</v>
      </c>
      <c r="D160" s="26" t="s">
        <v>108</v>
      </c>
      <c r="E160" s="27" t="s">
        <v>29</v>
      </c>
      <c r="F160" s="316" t="e">
        <f>Tablo142[[#This Row],[Verimlilik
%]]+Tablo142[[#This Row],[Net İşçilik Kapasite Kaybı %]]</f>
        <v>#DIV/0!</v>
      </c>
      <c r="G160" s="43" t="e">
        <f t="shared" si="33"/>
        <v>#DIV/0!</v>
      </c>
      <c r="H160" s="43" t="e">
        <f>Tablo142[[#This Row],[Duruş]]/Tablo142[[#This Row],[Net Kapasite Direkt]]*100</f>
        <v>#DIV/0!</v>
      </c>
      <c r="I160" s="43" t="e">
        <f>(Tablo142[[#This Row],[Net Kapasite Direkt]]-Tablo142[[#This Row],[Toplam Girilen İşçilik]])/Tablo142[[#This Row],[Net Kapasite Direkt]]*100</f>
        <v>#DIV/0!</v>
      </c>
      <c r="J160" s="28" t="e">
        <f t="shared" si="22"/>
        <v>#DIV/0!</v>
      </c>
      <c r="K160" s="29">
        <f t="shared" si="23"/>
        <v>0</v>
      </c>
      <c r="L160" s="29">
        <f t="shared" si="23"/>
        <v>0</v>
      </c>
      <c r="M160" s="30" t="e">
        <f t="shared" si="24"/>
        <v>#DIV/0!</v>
      </c>
      <c r="N160" s="30">
        <f>Tablo142[[#This Row],[Ödünç İşçilik]]+Tablo142[[#This Row],[Üretilen Değer (Sap Verisi)]]</f>
        <v>0</v>
      </c>
      <c r="O160" s="61">
        <f>SUMIFS(Tablo2[Ekim],Tablo2[BÖLÜM],Tablo142[[#This Row],[Bölüm]])/60</f>
        <v>0</v>
      </c>
      <c r="P160" s="31">
        <f>AC160+O160+Tablo142[[#This Row],[Ödünç İşçilik]]</f>
        <v>0</v>
      </c>
      <c r="Q160" s="31">
        <f t="shared" si="25"/>
        <v>0</v>
      </c>
      <c r="R160" s="147"/>
      <c r="S160" s="148"/>
      <c r="T160" s="148"/>
      <c r="U160" s="148"/>
      <c r="V160" s="148"/>
      <c r="W160" s="148"/>
      <c r="X160" s="363"/>
      <c r="Y160" s="148"/>
      <c r="Z160" s="148"/>
      <c r="AA160" s="148"/>
      <c r="AB160" s="148"/>
      <c r="AC160" s="460"/>
    </row>
    <row r="161" spans="2:29" ht="19.95" customHeight="1" x14ac:dyDescent="0.3">
      <c r="B161" s="315" t="s">
        <v>117</v>
      </c>
      <c r="C161" s="25" t="s">
        <v>4</v>
      </c>
      <c r="D161" s="26" t="s">
        <v>108</v>
      </c>
      <c r="E161" s="27" t="s">
        <v>43</v>
      </c>
      <c r="F161" s="316" t="e">
        <f>Tablo142[[#This Row],[Verimlilik
%]]+Tablo142[[#This Row],[Net İşçilik Kapasite Kaybı %]]</f>
        <v>#DIV/0!</v>
      </c>
      <c r="G161" s="43" t="e">
        <f t="shared" si="33"/>
        <v>#DIV/0!</v>
      </c>
      <c r="H161" s="43" t="e">
        <f>Tablo142[[#This Row],[Duruş]]/Tablo142[[#This Row],[Net Kapasite Direkt]]*100</f>
        <v>#DIV/0!</v>
      </c>
      <c r="I161" s="43" t="e">
        <f>(Tablo142[[#This Row],[Net Kapasite Direkt]]-Tablo142[[#This Row],[Toplam Girilen İşçilik]])/Tablo142[[#This Row],[Net Kapasite Direkt]]*100</f>
        <v>#DIV/0!</v>
      </c>
      <c r="J161" s="28" t="e">
        <f t="shared" si="22"/>
        <v>#DIV/0!</v>
      </c>
      <c r="K161" s="29">
        <f t="shared" si="23"/>
        <v>0</v>
      </c>
      <c r="L161" s="29">
        <f t="shared" si="23"/>
        <v>0</v>
      </c>
      <c r="M161" s="30" t="e">
        <f t="shared" si="24"/>
        <v>#DIV/0!</v>
      </c>
      <c r="N161" s="30">
        <f>Tablo142[[#This Row],[Ödünç İşçilik]]+Tablo142[[#This Row],[Üretilen Değer (Sap Verisi)]]</f>
        <v>0</v>
      </c>
      <c r="O161" s="61">
        <f>SUMIFS(Tablo2[Ekim],Tablo2[BÖLÜM],Tablo142[[#This Row],[Bölüm]])/60</f>
        <v>0</v>
      </c>
      <c r="P161" s="31">
        <f>AC161+O161+Tablo142[[#This Row],[Ödünç İşçilik]]</f>
        <v>0</v>
      </c>
      <c r="Q161" s="31">
        <f t="shared" si="25"/>
        <v>0</v>
      </c>
      <c r="R161" s="147"/>
      <c r="S161" s="148"/>
      <c r="T161" s="148"/>
      <c r="U161" s="148"/>
      <c r="V161" s="148"/>
      <c r="W161" s="148"/>
      <c r="X161" s="363"/>
      <c r="Y161" s="148"/>
      <c r="Z161" s="148"/>
      <c r="AA161" s="148"/>
      <c r="AB161" s="148"/>
      <c r="AC161" s="460"/>
    </row>
    <row r="162" spans="2:29" ht="19.95" customHeight="1" x14ac:dyDescent="0.3">
      <c r="B162" s="315" t="s">
        <v>117</v>
      </c>
      <c r="C162" s="25" t="s">
        <v>1011</v>
      </c>
      <c r="D162" s="26" t="s">
        <v>108</v>
      </c>
      <c r="E162" s="27" t="s">
        <v>19</v>
      </c>
      <c r="F162" s="316" t="e">
        <f>Tablo142[[#This Row],[Verimlilik
%]]+Tablo142[[#This Row],[Net İşçilik Kapasite Kaybı %]]</f>
        <v>#DIV/0!</v>
      </c>
      <c r="G162" s="43" t="e">
        <f t="shared" si="33"/>
        <v>#DIV/0!</v>
      </c>
      <c r="H162" s="43" t="e">
        <f>Tablo142[[#This Row],[Duruş]]/Tablo142[[#This Row],[Net Kapasite Direkt]]*100</f>
        <v>#DIV/0!</v>
      </c>
      <c r="I162" s="43" t="e">
        <f>(Tablo142[[#This Row],[Net Kapasite Direkt]]-Tablo142[[#This Row],[Toplam Girilen İşçilik]])/Tablo142[[#This Row],[Net Kapasite Direkt]]*100</f>
        <v>#DIV/0!</v>
      </c>
      <c r="J162" s="28" t="e">
        <f t="shared" si="22"/>
        <v>#DIV/0!</v>
      </c>
      <c r="K162" s="29">
        <f t="shared" si="23"/>
        <v>0</v>
      </c>
      <c r="L162" s="29">
        <f t="shared" si="23"/>
        <v>0</v>
      </c>
      <c r="M162" s="30" t="e">
        <f t="shared" si="24"/>
        <v>#DIV/0!</v>
      </c>
      <c r="N162" s="30">
        <f>Tablo142[[#This Row],[Ödünç İşçilik]]+Tablo142[[#This Row],[Üretilen Değer (Sap Verisi)]]</f>
        <v>0</v>
      </c>
      <c r="O162" s="61">
        <f>SUMIFS(Tablo2[Ekim],Tablo2[BÖLÜM],Tablo142[[#This Row],[Bölüm]])/60</f>
        <v>0</v>
      </c>
      <c r="P162" s="31">
        <f>AC162+O162+Tablo142[[#This Row],[Ödünç İşçilik]]</f>
        <v>0</v>
      </c>
      <c r="Q162" s="31">
        <f t="shared" si="25"/>
        <v>0</v>
      </c>
      <c r="R162" s="147"/>
      <c r="S162" s="148"/>
      <c r="T162" s="148"/>
      <c r="U162" s="148"/>
      <c r="V162" s="148"/>
      <c r="W162" s="148"/>
      <c r="X162" s="363"/>
      <c r="Y162" s="148"/>
      <c r="Z162" s="148"/>
      <c r="AA162" s="148"/>
      <c r="AB162" s="148"/>
      <c r="AC162" s="460"/>
    </row>
    <row r="163" spans="2:29" ht="19.95" customHeight="1" x14ac:dyDescent="0.3">
      <c r="B163" s="315" t="s">
        <v>117</v>
      </c>
      <c r="C163" s="25" t="s">
        <v>4</v>
      </c>
      <c r="D163" s="26" t="s">
        <v>25</v>
      </c>
      <c r="E163" s="27" t="s">
        <v>40</v>
      </c>
      <c r="F163" s="316" t="e">
        <f>Tablo142[[#This Row],[Verimlilik
%]]+Tablo142[[#This Row],[Net İşçilik Kapasite Kaybı %]]</f>
        <v>#DIV/0!</v>
      </c>
      <c r="G163" s="43" t="e">
        <f t="shared" si="33"/>
        <v>#DIV/0!</v>
      </c>
      <c r="H163" s="43" t="e">
        <f>Tablo142[[#This Row],[Duruş]]/Tablo142[[#This Row],[Net Kapasite Direkt]]*100</f>
        <v>#DIV/0!</v>
      </c>
      <c r="I163" s="43" t="e">
        <f>(Tablo142[[#This Row],[Net Kapasite Direkt]]-Tablo142[[#This Row],[Toplam Girilen İşçilik]])/Tablo142[[#This Row],[Net Kapasite Direkt]]*100</f>
        <v>#DIV/0!</v>
      </c>
      <c r="J163" s="28" t="e">
        <f t="shared" ref="J163:J203" si="34">(V163+W163)/(T163+U163)*100</f>
        <v>#DIV/0!</v>
      </c>
      <c r="K163" s="29">
        <f t="shared" ref="K163:L203" si="35">T163-V163</f>
        <v>0</v>
      </c>
      <c r="L163" s="29">
        <f t="shared" si="35"/>
        <v>0</v>
      </c>
      <c r="M163" s="30" t="e">
        <f t="shared" ref="M163:M203" si="36">(AA163+AB163)/(Y163+Z163)*100</f>
        <v>#DIV/0!</v>
      </c>
      <c r="N163" s="30">
        <f>Tablo142[[#This Row],[Ödünç İşçilik]]+Tablo142[[#This Row],[Üretilen Değer (Sap Verisi)]]</f>
        <v>0</v>
      </c>
      <c r="O163" s="61">
        <f>SUMIFS(Tablo2[Ekim],Tablo2[BÖLÜM],Tablo142[[#This Row],[Bölüm]])/60</f>
        <v>0</v>
      </c>
      <c r="P163" s="31">
        <f>AC163+O163+Tablo142[[#This Row],[Ödünç İşçilik]]</f>
        <v>0</v>
      </c>
      <c r="Q163" s="31">
        <f t="shared" ref="Q163:Q203" si="37">K163-P163</f>
        <v>0</v>
      </c>
      <c r="R163" s="147"/>
      <c r="S163" s="148"/>
      <c r="T163" s="148"/>
      <c r="U163" s="148"/>
      <c r="V163" s="148"/>
      <c r="W163" s="148"/>
      <c r="X163" s="363"/>
      <c r="Y163" s="148"/>
      <c r="Z163" s="148"/>
      <c r="AA163" s="148"/>
      <c r="AB163" s="148"/>
      <c r="AC163" s="460"/>
    </row>
    <row r="164" spans="2:29" ht="19.95" customHeight="1" x14ac:dyDescent="0.3">
      <c r="B164" s="315" t="s">
        <v>117</v>
      </c>
      <c r="C164" s="25" t="s">
        <v>4</v>
      </c>
      <c r="D164" s="26" t="s">
        <v>25</v>
      </c>
      <c r="E164" s="27" t="s">
        <v>35</v>
      </c>
      <c r="F164" s="316" t="e">
        <f>Tablo142[[#This Row],[Verimlilik
%]]+Tablo142[[#This Row],[Net İşçilik Kapasite Kaybı %]]</f>
        <v>#DIV/0!</v>
      </c>
      <c r="G164" s="43" t="e">
        <f t="shared" si="33"/>
        <v>#DIV/0!</v>
      </c>
      <c r="H164" s="43" t="e">
        <f>Tablo142[[#This Row],[Duruş]]/Tablo142[[#This Row],[Net Kapasite Direkt]]*100</f>
        <v>#DIV/0!</v>
      </c>
      <c r="I164" s="43" t="e">
        <f>(Tablo142[[#This Row],[Net Kapasite Direkt]]-Tablo142[[#This Row],[Toplam Girilen İşçilik]])/Tablo142[[#This Row],[Net Kapasite Direkt]]*100</f>
        <v>#DIV/0!</v>
      </c>
      <c r="J164" s="28" t="e">
        <f t="shared" si="34"/>
        <v>#DIV/0!</v>
      </c>
      <c r="K164" s="29">
        <f t="shared" si="35"/>
        <v>0</v>
      </c>
      <c r="L164" s="29">
        <f t="shared" si="35"/>
        <v>0</v>
      </c>
      <c r="M164" s="30" t="e">
        <f t="shared" si="36"/>
        <v>#DIV/0!</v>
      </c>
      <c r="N164" s="30">
        <f>Tablo142[[#This Row],[Ödünç İşçilik]]+Tablo142[[#This Row],[Üretilen Değer (Sap Verisi)]]</f>
        <v>0</v>
      </c>
      <c r="O164" s="61">
        <f>SUMIFS(Tablo2[Ekim],Tablo2[BÖLÜM],Tablo142[[#This Row],[Bölüm]])/60</f>
        <v>0</v>
      </c>
      <c r="P164" s="31">
        <f>AC164+O164+Tablo142[[#This Row],[Ödünç İşçilik]]</f>
        <v>0</v>
      </c>
      <c r="Q164" s="31">
        <f t="shared" si="37"/>
        <v>0</v>
      </c>
      <c r="R164" s="147"/>
      <c r="S164" s="148"/>
      <c r="T164" s="148"/>
      <c r="U164" s="148"/>
      <c r="V164" s="148"/>
      <c r="W164" s="148"/>
      <c r="X164" s="363"/>
      <c r="Y164" s="148"/>
      <c r="Z164" s="148"/>
      <c r="AA164" s="148"/>
      <c r="AB164" s="148"/>
      <c r="AC164" s="460"/>
    </row>
    <row r="165" spans="2:29" ht="19.95" customHeight="1" x14ac:dyDescent="0.3">
      <c r="B165" s="315" t="s">
        <v>117</v>
      </c>
      <c r="C165" s="25" t="s">
        <v>4</v>
      </c>
      <c r="D165" s="26" t="s">
        <v>25</v>
      </c>
      <c r="E165" s="27" t="s">
        <v>25</v>
      </c>
      <c r="F165" s="316" t="e">
        <f>Tablo142[[#This Row],[Verimlilik
%]]+Tablo142[[#This Row],[Net İşçilik Kapasite Kaybı %]]</f>
        <v>#DIV/0!</v>
      </c>
      <c r="G165" s="43" t="e">
        <f t="shared" si="33"/>
        <v>#DIV/0!</v>
      </c>
      <c r="H165" s="43" t="e">
        <f>Tablo142[[#This Row],[Duruş]]/Tablo142[[#This Row],[Net Kapasite Direkt]]*100</f>
        <v>#DIV/0!</v>
      </c>
      <c r="I165" s="43" t="e">
        <f>(Tablo142[[#This Row],[Net Kapasite Direkt]]-Tablo142[[#This Row],[Toplam Girilen İşçilik]])/Tablo142[[#This Row],[Net Kapasite Direkt]]*100</f>
        <v>#DIV/0!</v>
      </c>
      <c r="J165" s="28" t="e">
        <f t="shared" si="34"/>
        <v>#DIV/0!</v>
      </c>
      <c r="K165" s="29">
        <f t="shared" si="35"/>
        <v>0</v>
      </c>
      <c r="L165" s="29">
        <f t="shared" si="35"/>
        <v>0</v>
      </c>
      <c r="M165" s="30" t="e">
        <f t="shared" si="36"/>
        <v>#DIV/0!</v>
      </c>
      <c r="N165" s="30">
        <f>Tablo142[[#This Row],[Ödünç İşçilik]]+Tablo142[[#This Row],[Üretilen Değer (Sap Verisi)]]</f>
        <v>0</v>
      </c>
      <c r="O165" s="61">
        <f>SUMIFS(Tablo2[Ekim],Tablo2[BÖLÜM],Tablo142[[#This Row],[Bölüm]])/60</f>
        <v>0</v>
      </c>
      <c r="P165" s="31">
        <f>AC165+O165+Tablo142[[#This Row],[Ödünç İşçilik]]</f>
        <v>0</v>
      </c>
      <c r="Q165" s="31">
        <f t="shared" si="37"/>
        <v>0</v>
      </c>
      <c r="R165" s="147"/>
      <c r="S165" s="148"/>
      <c r="T165" s="148"/>
      <c r="U165" s="148"/>
      <c r="V165" s="148"/>
      <c r="W165" s="148"/>
      <c r="X165" s="363"/>
      <c r="Y165" s="148"/>
      <c r="Z165" s="148"/>
      <c r="AA165" s="148"/>
      <c r="AB165" s="148"/>
      <c r="AC165" s="460"/>
    </row>
    <row r="166" spans="2:29" ht="19.95" customHeight="1" x14ac:dyDescent="0.3">
      <c r="B166" s="315" t="s">
        <v>117</v>
      </c>
      <c r="C166" s="25" t="s">
        <v>4</v>
      </c>
      <c r="D166" s="26" t="s">
        <v>25</v>
      </c>
      <c r="E166" s="27" t="s">
        <v>23</v>
      </c>
      <c r="F166" s="316" t="e">
        <f>Tablo142[[#This Row],[Verimlilik
%]]+Tablo142[[#This Row],[Net İşçilik Kapasite Kaybı %]]</f>
        <v>#DIV/0!</v>
      </c>
      <c r="G166" s="43" t="e">
        <f t="shared" si="33"/>
        <v>#DIV/0!</v>
      </c>
      <c r="H166" s="43" t="e">
        <f>Tablo142[[#This Row],[Duruş]]/Tablo142[[#This Row],[Net Kapasite Direkt]]*100</f>
        <v>#DIV/0!</v>
      </c>
      <c r="I166" s="43" t="e">
        <f>(Tablo142[[#This Row],[Net Kapasite Direkt]]-Tablo142[[#This Row],[Toplam Girilen İşçilik]])/Tablo142[[#This Row],[Net Kapasite Direkt]]*100</f>
        <v>#DIV/0!</v>
      </c>
      <c r="J166" s="28" t="e">
        <f t="shared" si="34"/>
        <v>#DIV/0!</v>
      </c>
      <c r="K166" s="29">
        <f t="shared" si="35"/>
        <v>0</v>
      </c>
      <c r="L166" s="29">
        <f t="shared" si="35"/>
        <v>0</v>
      </c>
      <c r="M166" s="30" t="e">
        <f t="shared" si="36"/>
        <v>#DIV/0!</v>
      </c>
      <c r="N166" s="30">
        <f>Tablo142[[#This Row],[Ödünç İşçilik]]+Tablo142[[#This Row],[Üretilen Değer (Sap Verisi)]]</f>
        <v>0</v>
      </c>
      <c r="O166" s="61">
        <f>SUMIFS(Tablo2[Ekim],Tablo2[BÖLÜM],Tablo142[[#This Row],[Bölüm]])/60</f>
        <v>0</v>
      </c>
      <c r="P166" s="31">
        <f>AC166+O166+Tablo142[[#This Row],[Ödünç İşçilik]]</f>
        <v>0</v>
      </c>
      <c r="Q166" s="31">
        <f t="shared" si="37"/>
        <v>0</v>
      </c>
      <c r="R166" s="147"/>
      <c r="S166" s="148"/>
      <c r="T166" s="148"/>
      <c r="U166" s="148"/>
      <c r="V166" s="148"/>
      <c r="W166" s="148"/>
      <c r="X166" s="363"/>
      <c r="Y166" s="148"/>
      <c r="Z166" s="148"/>
      <c r="AA166" s="148"/>
      <c r="AB166" s="148"/>
      <c r="AC166" s="153"/>
    </row>
    <row r="167" spans="2:29" ht="19.95" customHeight="1" thickBot="1" x14ac:dyDescent="0.35">
      <c r="B167" s="317" t="s">
        <v>117</v>
      </c>
      <c r="C167" s="232" t="s">
        <v>4</v>
      </c>
      <c r="D167" s="233" t="s">
        <v>25</v>
      </c>
      <c r="E167" s="234" t="s">
        <v>20</v>
      </c>
      <c r="F167" s="318" t="e">
        <f>Tablo142[[#This Row],[Verimlilik
%]]+Tablo142[[#This Row],[Net İşçilik Kapasite Kaybı %]]</f>
        <v>#DIV/0!</v>
      </c>
      <c r="G167" s="236" t="e">
        <f t="shared" si="33"/>
        <v>#DIV/0!</v>
      </c>
      <c r="H167" s="236" t="e">
        <f>Tablo142[[#This Row],[Duruş]]/Tablo142[[#This Row],[Net Kapasite Direkt]]*100</f>
        <v>#DIV/0!</v>
      </c>
      <c r="I167" s="236" t="e">
        <f>(Tablo142[[#This Row],[Net Kapasite Direkt]]-Tablo142[[#This Row],[Toplam Girilen İşçilik]])/Tablo142[[#This Row],[Net Kapasite Direkt]]*100</f>
        <v>#DIV/0!</v>
      </c>
      <c r="J167" s="237" t="e">
        <f t="shared" si="34"/>
        <v>#DIV/0!</v>
      </c>
      <c r="K167" s="238">
        <f t="shared" si="35"/>
        <v>0</v>
      </c>
      <c r="L167" s="238">
        <f t="shared" si="35"/>
        <v>0</v>
      </c>
      <c r="M167" s="239" t="e">
        <f>(AA167+AB167)/(Y167+Z167)*100</f>
        <v>#DIV/0!</v>
      </c>
      <c r="N167" s="239">
        <f>Tablo142[[#This Row],[Ödünç İşçilik]]+Tablo142[[#This Row],[Üretilen Değer (Sap Verisi)]]</f>
        <v>0</v>
      </c>
      <c r="O167" s="240">
        <f>SUMIFS(Tablo2[Ekim],Tablo2[BÖLÜM],Tablo142[[#This Row],[Bölüm]])/60</f>
        <v>0</v>
      </c>
      <c r="P167" s="241">
        <f>AC167+O167+Tablo142[[#This Row],[Ödünç İşçilik]]</f>
        <v>0</v>
      </c>
      <c r="Q167" s="241">
        <f t="shared" si="37"/>
        <v>0</v>
      </c>
      <c r="R167" s="149"/>
      <c r="S167" s="150"/>
      <c r="T167" s="150"/>
      <c r="U167" s="150"/>
      <c r="V167" s="150"/>
      <c r="W167" s="150"/>
      <c r="X167" s="363"/>
      <c r="Y167" s="150"/>
      <c r="Z167" s="150"/>
      <c r="AA167" s="150"/>
      <c r="AB167" s="150"/>
      <c r="AC167" s="152"/>
    </row>
    <row r="168" spans="2:29" ht="19.95" customHeight="1" x14ac:dyDescent="0.3">
      <c r="B168" s="312" t="s">
        <v>118</v>
      </c>
      <c r="C168" s="215" t="s">
        <v>4</v>
      </c>
      <c r="D168" s="216" t="s">
        <v>108</v>
      </c>
      <c r="E168" s="217" t="s">
        <v>5</v>
      </c>
      <c r="F168" s="313" t="e">
        <f>Tablo142[[#This Row],[Verimlilik
%]]+Tablo142[[#This Row],[Net İşçilik Kapasite Kaybı %]]</f>
        <v>#DIV/0!</v>
      </c>
      <c r="G168" s="219" t="e">
        <f t="shared" si="33"/>
        <v>#DIV/0!</v>
      </c>
      <c r="H168" s="219" t="e">
        <f>Tablo142[[#This Row],[Duruş]]/Tablo142[[#This Row],[Net Kapasite Direkt]]*100</f>
        <v>#DIV/0!</v>
      </c>
      <c r="I168" s="219" t="e">
        <f>(Tablo142[[#This Row],[Net Kapasite Direkt]]-Tablo142[[#This Row],[Toplam Girilen İşçilik]])/Tablo142[[#This Row],[Net Kapasite Direkt]]*100</f>
        <v>#DIV/0!</v>
      </c>
      <c r="J168" s="220" t="e">
        <f t="shared" si="34"/>
        <v>#DIV/0!</v>
      </c>
      <c r="K168" s="221">
        <f t="shared" si="35"/>
        <v>0</v>
      </c>
      <c r="L168" s="221">
        <f t="shared" si="35"/>
        <v>0</v>
      </c>
      <c r="M168" s="222" t="e">
        <f t="shared" si="36"/>
        <v>#DIV/0!</v>
      </c>
      <c r="N168" s="222">
        <f>Tablo142[[#This Row],[Ödünç İşçilik]]+Tablo142[[#This Row],[Üretilen Değer (Sap Verisi)]]</f>
        <v>0</v>
      </c>
      <c r="O168" s="223">
        <f>SUMIFS(Tablo2[Kasım],Tablo2[BÖLÜM],Tablo142[[#This Row],[Bölüm]])/60</f>
        <v>0</v>
      </c>
      <c r="P168" s="224">
        <f>AC168+O168+Tablo142[[#This Row],[Ödünç İşçilik]]</f>
        <v>0</v>
      </c>
      <c r="Q168" s="224">
        <f>K168-P168</f>
        <v>0</v>
      </c>
      <c r="R168" s="145"/>
      <c r="S168" s="146"/>
      <c r="T168" s="146"/>
      <c r="U168" s="146"/>
      <c r="V168" s="146"/>
      <c r="W168" s="146"/>
      <c r="X168" s="363"/>
      <c r="Y168" s="146"/>
      <c r="Z168" s="146"/>
      <c r="AA168" s="146"/>
      <c r="AB168" s="146"/>
      <c r="AC168" s="480"/>
    </row>
    <row r="169" spans="2:29" ht="19.95" customHeight="1" x14ac:dyDescent="0.3">
      <c r="B169" s="315" t="s">
        <v>118</v>
      </c>
      <c r="C169" s="25" t="s">
        <v>4</v>
      </c>
      <c r="D169" s="26" t="s">
        <v>108</v>
      </c>
      <c r="E169" s="27" t="s">
        <v>46</v>
      </c>
      <c r="F169" s="316" t="e">
        <f>Tablo142[[#This Row],[Verimlilik
%]]+Tablo142[[#This Row],[Net İşçilik Kapasite Kaybı %]]</f>
        <v>#DIV/0!</v>
      </c>
      <c r="G169" s="43" t="e">
        <f t="shared" si="33"/>
        <v>#DIV/0!</v>
      </c>
      <c r="H169" s="43" t="e">
        <f>Tablo142[[#This Row],[Duruş]]/Tablo142[[#This Row],[Net Kapasite Direkt]]*100</f>
        <v>#DIV/0!</v>
      </c>
      <c r="I169" s="43" t="e">
        <f>(Tablo142[[#This Row],[Net Kapasite Direkt]]-Tablo142[[#This Row],[Toplam Girilen İşçilik]])/Tablo142[[#This Row],[Net Kapasite Direkt]]*100</f>
        <v>#DIV/0!</v>
      </c>
      <c r="J169" s="28" t="e">
        <f t="shared" si="34"/>
        <v>#DIV/0!</v>
      </c>
      <c r="K169" s="29">
        <f t="shared" si="35"/>
        <v>0</v>
      </c>
      <c r="L169" s="29">
        <f t="shared" si="35"/>
        <v>0</v>
      </c>
      <c r="M169" s="30" t="e">
        <f t="shared" si="36"/>
        <v>#DIV/0!</v>
      </c>
      <c r="N169" s="30">
        <f>Tablo142[[#This Row],[Ödünç İşçilik]]+Tablo142[[#This Row],[Üretilen Değer (Sap Verisi)]]</f>
        <v>0</v>
      </c>
      <c r="O169" s="61">
        <f>SUMIFS(Tablo2[Kasım],Tablo2[BÖLÜM],Tablo142[[#This Row],[Bölüm]])/60</f>
        <v>0</v>
      </c>
      <c r="P169" s="31">
        <f>AC169+O169+Tablo142[[#This Row],[Ödünç İşçilik]]</f>
        <v>0</v>
      </c>
      <c r="Q169" s="31">
        <f t="shared" si="37"/>
        <v>0</v>
      </c>
      <c r="R169" s="155"/>
      <c r="S169" s="156"/>
      <c r="T169" s="156"/>
      <c r="U169" s="156"/>
      <c r="V169" s="156"/>
      <c r="W169" s="156"/>
      <c r="X169" s="363"/>
      <c r="Y169" s="156"/>
      <c r="Z169" s="156"/>
      <c r="AA169" s="156"/>
      <c r="AB169" s="156"/>
      <c r="AC169" s="157"/>
    </row>
    <row r="170" spans="2:29" ht="19.95" customHeight="1" x14ac:dyDescent="0.3">
      <c r="B170" s="315" t="s">
        <v>118</v>
      </c>
      <c r="C170" s="25" t="s">
        <v>4</v>
      </c>
      <c r="D170" s="26" t="s">
        <v>108</v>
      </c>
      <c r="E170" s="27" t="s">
        <v>13</v>
      </c>
      <c r="F170" s="316" t="e">
        <f>Tablo142[[#This Row],[Verimlilik
%]]+Tablo142[[#This Row],[Net İşçilik Kapasite Kaybı %]]</f>
        <v>#DIV/0!</v>
      </c>
      <c r="G170" s="89" t="e">
        <f t="shared" si="33"/>
        <v>#DIV/0!</v>
      </c>
      <c r="H170" s="43" t="e">
        <f>Tablo142[[#This Row],[Duruş]]/Tablo142[[#This Row],[Net Kapasite Direkt]]*100</f>
        <v>#DIV/0!</v>
      </c>
      <c r="I170" s="88" t="e">
        <f>(Tablo142[[#This Row],[Net Kapasite Direkt]]-Tablo142[[#This Row],[Toplam Girilen İşçilik]])/Tablo142[[#This Row],[Net Kapasite Direkt]]*100</f>
        <v>#DIV/0!</v>
      </c>
      <c r="J170" s="28" t="e">
        <f t="shared" si="34"/>
        <v>#DIV/0!</v>
      </c>
      <c r="K170" s="29">
        <f t="shared" si="35"/>
        <v>0</v>
      </c>
      <c r="L170" s="29">
        <f t="shared" si="35"/>
        <v>0</v>
      </c>
      <c r="M170" s="30" t="e">
        <f t="shared" si="36"/>
        <v>#DIV/0!</v>
      </c>
      <c r="N170" s="30">
        <f>Tablo142[[#This Row],[Ödünç İşçilik]]+Tablo142[[#This Row],[Üretilen Değer (Sap Verisi)]]</f>
        <v>0</v>
      </c>
      <c r="O170" s="61">
        <f>SUMIFS(Tablo2[Kasım],Tablo2[BÖLÜM],Tablo142[[#This Row],[Bölüm]])/60</f>
        <v>0</v>
      </c>
      <c r="P170" s="31">
        <f>AC170+O170+Tablo142[[#This Row],[Ödünç İşçilik]]</f>
        <v>0</v>
      </c>
      <c r="Q170" s="31">
        <f t="shared" si="37"/>
        <v>0</v>
      </c>
      <c r="R170" s="155"/>
      <c r="S170" s="156"/>
      <c r="T170" s="156"/>
      <c r="U170" s="156"/>
      <c r="V170" s="156"/>
      <c r="W170" s="156"/>
      <c r="X170" s="363"/>
      <c r="Y170" s="156"/>
      <c r="Z170" s="156"/>
      <c r="AA170" s="156"/>
      <c r="AB170" s="156"/>
      <c r="AC170" s="157"/>
    </row>
    <row r="171" spans="2:29" ht="19.95" customHeight="1" x14ac:dyDescent="0.3">
      <c r="B171" s="315" t="s">
        <v>118</v>
      </c>
      <c r="C171" s="25" t="s">
        <v>4</v>
      </c>
      <c r="D171" s="26" t="s">
        <v>108</v>
      </c>
      <c r="E171" s="27" t="s">
        <v>9</v>
      </c>
      <c r="F171" s="316" t="e">
        <f>Tablo142[[#This Row],[Verimlilik
%]]+Tablo142[[#This Row],[Net İşçilik Kapasite Kaybı %]]</f>
        <v>#DIV/0!</v>
      </c>
      <c r="G171" s="89" t="e">
        <f t="shared" si="33"/>
        <v>#DIV/0!</v>
      </c>
      <c r="H171" s="43" t="e">
        <f>Tablo142[[#This Row],[Duruş]]/Tablo142[[#This Row],[Net Kapasite Direkt]]*100</f>
        <v>#DIV/0!</v>
      </c>
      <c r="I171" s="88" t="e">
        <f>(Tablo142[[#This Row],[Net Kapasite Direkt]]-Tablo142[[#This Row],[Toplam Girilen İşçilik]])/Tablo142[[#This Row],[Net Kapasite Direkt]]*100</f>
        <v>#DIV/0!</v>
      </c>
      <c r="J171" s="28" t="e">
        <f>(V171+W171)/(T171+U171)*100</f>
        <v>#DIV/0!</v>
      </c>
      <c r="K171" s="29">
        <f>T171-V171</f>
        <v>0</v>
      </c>
      <c r="L171" s="29">
        <f>U171-W171</f>
        <v>0</v>
      </c>
      <c r="M171" s="30" t="e">
        <f t="shared" si="36"/>
        <v>#DIV/0!</v>
      </c>
      <c r="N171" s="30">
        <f>Tablo142[[#This Row],[Ödünç İşçilik]]+Tablo142[[#This Row],[Üretilen Değer (Sap Verisi)]]</f>
        <v>0</v>
      </c>
      <c r="O171" s="61">
        <f>SUMIFS(Tablo2[Kasım],Tablo2[BÖLÜM],Tablo142[[#This Row],[Bölüm]])/60</f>
        <v>0</v>
      </c>
      <c r="P171" s="31">
        <f>AC171+O171+Tablo142[[#This Row],[Ödünç İşçilik]]</f>
        <v>0</v>
      </c>
      <c r="Q171" s="31">
        <f t="shared" si="37"/>
        <v>0</v>
      </c>
      <c r="R171" s="155"/>
      <c r="S171" s="156"/>
      <c r="T171" s="156"/>
      <c r="U171" s="156"/>
      <c r="V171" s="156"/>
      <c r="W171" s="156"/>
      <c r="X171" s="363"/>
      <c r="Y171" s="156"/>
      <c r="Z171" s="156"/>
      <c r="AA171" s="156"/>
      <c r="AB171" s="156"/>
      <c r="AC171" s="157"/>
    </row>
    <row r="172" spans="2:29" ht="19.95" customHeight="1" x14ac:dyDescent="0.3">
      <c r="B172" s="315" t="s">
        <v>118</v>
      </c>
      <c r="C172" s="25" t="s">
        <v>1011</v>
      </c>
      <c r="D172" s="26" t="s">
        <v>108</v>
      </c>
      <c r="E172" s="27" t="s">
        <v>1015</v>
      </c>
      <c r="F172" s="316" t="e">
        <f>Tablo142[[#This Row],[Verimlilik
%]]+Tablo142[[#This Row],[Net İşçilik Kapasite Kaybı %]]</f>
        <v>#DIV/0!</v>
      </c>
      <c r="G172" s="89" t="e">
        <f t="shared" si="33"/>
        <v>#DIV/0!</v>
      </c>
      <c r="H172" s="43" t="e">
        <f>Tablo142[[#This Row],[Duruş]]/Tablo142[[#This Row],[Net Kapasite Direkt]]*100</f>
        <v>#DIV/0!</v>
      </c>
      <c r="I172" s="88" t="e">
        <f>(Tablo142[[#This Row],[Net Kapasite Direkt]]-Tablo142[[#This Row],[Toplam Girilen İşçilik]])/Tablo142[[#This Row],[Net Kapasite Direkt]]*100</f>
        <v>#DIV/0!</v>
      </c>
      <c r="J172" s="28" t="e">
        <f t="shared" si="34"/>
        <v>#DIV/0!</v>
      </c>
      <c r="K172" s="29">
        <f t="shared" si="35"/>
        <v>0</v>
      </c>
      <c r="L172" s="29">
        <f t="shared" si="35"/>
        <v>0</v>
      </c>
      <c r="M172" s="30" t="e">
        <f t="shared" si="36"/>
        <v>#DIV/0!</v>
      </c>
      <c r="N172" s="30">
        <f>Tablo142[[#This Row],[Ödünç İşçilik]]+Tablo142[[#This Row],[Üretilen Değer (Sap Verisi)]]</f>
        <v>0</v>
      </c>
      <c r="O172" s="61">
        <f>SUMIFS(Tablo2[Kasım],Tablo2[BÖLÜM],Tablo142[[#This Row],[Bölüm]])/60</f>
        <v>0</v>
      </c>
      <c r="P172" s="31">
        <f>AC172+O172+Tablo142[[#This Row],[Ödünç İşçilik]]</f>
        <v>0</v>
      </c>
      <c r="Q172" s="31">
        <f t="shared" si="37"/>
        <v>0</v>
      </c>
      <c r="R172" s="155"/>
      <c r="S172" s="156"/>
      <c r="T172" s="156"/>
      <c r="U172" s="156"/>
      <c r="V172" s="156"/>
      <c r="W172" s="156"/>
      <c r="X172" s="363"/>
      <c r="Y172" s="156"/>
      <c r="Z172" s="156"/>
      <c r="AA172" s="156"/>
      <c r="AB172" s="156"/>
      <c r="AC172" s="157"/>
    </row>
    <row r="173" spans="2:29" ht="19.95" customHeight="1" x14ac:dyDescent="0.3">
      <c r="B173" s="315" t="s">
        <v>118</v>
      </c>
      <c r="C173" s="25" t="s">
        <v>1011</v>
      </c>
      <c r="D173" s="26" t="s">
        <v>108</v>
      </c>
      <c r="E173" s="27" t="s">
        <v>1016</v>
      </c>
      <c r="F173" s="316" t="e">
        <f>Tablo142[[#This Row],[Verimlilik
%]]+Tablo142[[#This Row],[Net İşçilik Kapasite Kaybı %]]</f>
        <v>#DIV/0!</v>
      </c>
      <c r="G173" s="89" t="e">
        <f t="shared" si="33"/>
        <v>#DIV/0!</v>
      </c>
      <c r="H173" s="43" t="e">
        <f>Tablo142[[#This Row],[Duruş]]/Tablo142[[#This Row],[Net Kapasite Direkt]]*100</f>
        <v>#DIV/0!</v>
      </c>
      <c r="I173" s="88" t="e">
        <f>(Tablo142[[#This Row],[Net Kapasite Direkt]]-Tablo142[[#This Row],[Toplam Girilen İşçilik]])/Tablo142[[#This Row],[Net Kapasite Direkt]]*100</f>
        <v>#DIV/0!</v>
      </c>
      <c r="J173" s="28" t="e">
        <f t="shared" si="34"/>
        <v>#DIV/0!</v>
      </c>
      <c r="K173" s="29">
        <f t="shared" si="35"/>
        <v>0</v>
      </c>
      <c r="L173" s="29">
        <f t="shared" si="35"/>
        <v>0</v>
      </c>
      <c r="M173" s="30" t="e">
        <f t="shared" si="36"/>
        <v>#DIV/0!</v>
      </c>
      <c r="N173" s="30">
        <f>Tablo142[[#This Row],[Ödünç İşçilik]]+Tablo142[[#This Row],[Üretilen Değer (Sap Verisi)]]</f>
        <v>0</v>
      </c>
      <c r="O173" s="61">
        <f>SUMIFS(Tablo2[Kasım],Tablo2[BÖLÜM],Tablo142[[#This Row],[Bölüm]])/60</f>
        <v>0</v>
      </c>
      <c r="P173" s="31">
        <f>AC173+O173+Tablo142[[#This Row],[Ödünç İşçilik]]</f>
        <v>0</v>
      </c>
      <c r="Q173" s="31">
        <f t="shared" si="37"/>
        <v>0</v>
      </c>
      <c r="R173" s="155"/>
      <c r="S173" s="156"/>
      <c r="T173" s="156"/>
      <c r="U173" s="156"/>
      <c r="V173" s="156"/>
      <c r="W173" s="156"/>
      <c r="X173" s="452"/>
      <c r="Y173" s="156"/>
      <c r="Z173" s="156"/>
      <c r="AA173" s="156"/>
      <c r="AB173" s="156"/>
      <c r="AC173" s="157"/>
    </row>
    <row r="174" spans="2:29" ht="19.95" customHeight="1" x14ac:dyDescent="0.3">
      <c r="B174" s="315" t="s">
        <v>118</v>
      </c>
      <c r="C174" s="25" t="s">
        <v>1011</v>
      </c>
      <c r="D174" s="26" t="s">
        <v>108</v>
      </c>
      <c r="E174" s="27" t="s">
        <v>1017</v>
      </c>
      <c r="F174" s="316" t="e">
        <f>Tablo142[[#This Row],[Verimlilik
%]]+Tablo142[[#This Row],[Net İşçilik Kapasite Kaybı %]]</f>
        <v>#DIV/0!</v>
      </c>
      <c r="G174" s="89" t="e">
        <f t="shared" si="33"/>
        <v>#DIV/0!</v>
      </c>
      <c r="H174" s="43" t="e">
        <f>Tablo142[[#This Row],[Duruş]]/Tablo142[[#This Row],[Net Kapasite Direkt]]*100</f>
        <v>#DIV/0!</v>
      </c>
      <c r="I174" s="88" t="e">
        <f>(Tablo142[[#This Row],[Net Kapasite Direkt]]-Tablo142[[#This Row],[Toplam Girilen İşçilik]])/Tablo142[[#This Row],[Net Kapasite Direkt]]*100</f>
        <v>#DIV/0!</v>
      </c>
      <c r="J174" s="28" t="e">
        <f t="shared" si="34"/>
        <v>#DIV/0!</v>
      </c>
      <c r="K174" s="29">
        <f t="shared" si="35"/>
        <v>0</v>
      </c>
      <c r="L174" s="29">
        <f t="shared" si="35"/>
        <v>0</v>
      </c>
      <c r="M174" s="30" t="e">
        <f t="shared" si="36"/>
        <v>#DIV/0!</v>
      </c>
      <c r="N174" s="30">
        <f>Tablo142[[#This Row],[Ödünç İşçilik]]+Tablo142[[#This Row],[Üretilen Değer (Sap Verisi)]]</f>
        <v>0</v>
      </c>
      <c r="O174" s="61">
        <f>SUMIFS(Tablo2[Kasım],Tablo2[BÖLÜM],Tablo142[[#This Row],[Bölüm]])/60</f>
        <v>0</v>
      </c>
      <c r="P174" s="31">
        <f>AC174+O174+Tablo142[[#This Row],[Ödünç İşçilik]]</f>
        <v>0</v>
      </c>
      <c r="Q174" s="31">
        <f t="shared" si="37"/>
        <v>0</v>
      </c>
      <c r="R174" s="155"/>
      <c r="S174" s="156"/>
      <c r="T174" s="156"/>
      <c r="U174" s="156"/>
      <c r="V174" s="156"/>
      <c r="W174" s="156"/>
      <c r="X174" s="452"/>
      <c r="Y174" s="156"/>
      <c r="Z174" s="156"/>
      <c r="AA174" s="156"/>
      <c r="AB174" s="156"/>
      <c r="AC174" s="157"/>
    </row>
    <row r="175" spans="2:29" ht="19.95" customHeight="1" x14ac:dyDescent="0.3">
      <c r="B175" s="315" t="s">
        <v>118</v>
      </c>
      <c r="C175" s="25" t="s">
        <v>1011</v>
      </c>
      <c r="D175" s="26" t="s">
        <v>108</v>
      </c>
      <c r="E175" s="27" t="s">
        <v>1014</v>
      </c>
      <c r="F175" s="316" t="e">
        <f>Tablo142[[#This Row],[Verimlilik
%]]+Tablo142[[#This Row],[Net İşçilik Kapasite Kaybı %]]</f>
        <v>#DIV/0!</v>
      </c>
      <c r="G175" s="89" t="e">
        <f t="shared" si="33"/>
        <v>#DIV/0!</v>
      </c>
      <c r="H175" s="43" t="e">
        <f>Tablo142[[#This Row],[Duruş]]/Tablo142[[#This Row],[Net Kapasite Direkt]]*100</f>
        <v>#DIV/0!</v>
      </c>
      <c r="I175" s="88" t="e">
        <f>(Tablo142[[#This Row],[Net Kapasite Direkt]]-Tablo142[[#This Row],[Toplam Girilen İşçilik]])/Tablo142[[#This Row],[Net Kapasite Direkt]]*100</f>
        <v>#DIV/0!</v>
      </c>
      <c r="J175" s="28" t="e">
        <f t="shared" si="34"/>
        <v>#DIV/0!</v>
      </c>
      <c r="K175" s="29">
        <f t="shared" si="35"/>
        <v>0</v>
      </c>
      <c r="L175" s="29">
        <f t="shared" si="35"/>
        <v>0</v>
      </c>
      <c r="M175" s="30" t="e">
        <f t="shared" si="36"/>
        <v>#DIV/0!</v>
      </c>
      <c r="N175" s="30">
        <f>Tablo142[[#This Row],[Ödünç İşçilik]]+Tablo142[[#This Row],[Üretilen Değer (Sap Verisi)]]</f>
        <v>0</v>
      </c>
      <c r="O175" s="61">
        <f>SUMIFS(Tablo2[Kasım],Tablo2[BÖLÜM],Tablo142[[#This Row],[Bölüm]])/60</f>
        <v>0</v>
      </c>
      <c r="P175" s="31">
        <f>AC175+O175+Tablo142[[#This Row],[Ödünç İşçilik]]</f>
        <v>0</v>
      </c>
      <c r="Q175" s="31">
        <f t="shared" si="37"/>
        <v>0</v>
      </c>
      <c r="R175" s="155"/>
      <c r="S175" s="156"/>
      <c r="T175" s="156"/>
      <c r="U175" s="156"/>
      <c r="V175" s="156"/>
      <c r="W175" s="156"/>
      <c r="X175" s="452"/>
      <c r="Y175" s="156"/>
      <c r="Z175" s="156"/>
      <c r="AA175" s="156"/>
      <c r="AB175" s="156"/>
      <c r="AC175" s="157"/>
    </row>
    <row r="176" spans="2:29" ht="19.95" customHeight="1" x14ac:dyDescent="0.3">
      <c r="B176" s="315" t="s">
        <v>118</v>
      </c>
      <c r="C176" s="25" t="s">
        <v>1011</v>
      </c>
      <c r="D176" s="26" t="s">
        <v>108</v>
      </c>
      <c r="E176" s="27" t="s">
        <v>26</v>
      </c>
      <c r="F176" s="405" t="e">
        <f>Tablo142[[#This Row],[Verimlilik
%]]+Tablo142[[#This Row],[Net İşçilik Kapasite Kaybı %]]</f>
        <v>#DIV/0!</v>
      </c>
      <c r="G176" s="89" t="e">
        <f t="shared" ref="G176:G183" si="38">(AC176+X176)/K176*100</f>
        <v>#DIV/0!</v>
      </c>
      <c r="H176" s="43" t="e">
        <f>Tablo142[[#This Row],[Duruş]]/Tablo142[[#This Row],[Net Kapasite Direkt]]*100</f>
        <v>#DIV/0!</v>
      </c>
      <c r="I176" s="43" t="e">
        <f>(Tablo142[[#This Row],[Net Kapasite Direkt]]-Tablo142[[#This Row],[Toplam Girilen İşçilik]])/Tablo142[[#This Row],[Net Kapasite Direkt]]*100</f>
        <v>#DIV/0!</v>
      </c>
      <c r="J176" s="28" t="e">
        <f t="shared" ref="J176:J200" si="39">(V176+W176)/(T176+U176)*100</f>
        <v>#DIV/0!</v>
      </c>
      <c r="K176" s="29">
        <f t="shared" ref="K176:K200" si="40">T176-V176</f>
        <v>0</v>
      </c>
      <c r="L176" s="29">
        <f t="shared" ref="L176:L200" si="41">U176-W176</f>
        <v>0</v>
      </c>
      <c r="M176" s="30" t="e">
        <f t="shared" ref="M176:M200" si="42">(AA176+AB176)/(Y176+Z176)*100</f>
        <v>#DIV/0!</v>
      </c>
      <c r="N176" s="30">
        <f>Tablo142[[#This Row],[Ödünç İşçilik]]+Tablo142[[#This Row],[Üretilen Değer (Sap Verisi)]]</f>
        <v>0</v>
      </c>
      <c r="O176" s="61">
        <f>SUMIFS(Tablo2[Kasım],Tablo2[BÖLÜM],Tablo142[[#This Row],[Bölüm]])/60</f>
        <v>0</v>
      </c>
      <c r="P176" s="31">
        <f>AC176+O176+Tablo142[[#This Row],[Ödünç İşçilik]]</f>
        <v>0</v>
      </c>
      <c r="Q176" s="31">
        <f t="shared" ref="Q176:Q200" si="43">K176-P176</f>
        <v>0</v>
      </c>
      <c r="R176" s="437"/>
      <c r="S176" s="435"/>
      <c r="T176" s="435"/>
      <c r="U176" s="435"/>
      <c r="V176" s="435"/>
      <c r="W176" s="435"/>
      <c r="X176" s="404"/>
      <c r="Y176" s="435"/>
      <c r="Z176" s="435"/>
      <c r="AA176" s="435"/>
      <c r="AB176" s="435"/>
      <c r="AC176" s="436"/>
    </row>
    <row r="177" spans="2:29" ht="19.95" customHeight="1" x14ac:dyDescent="0.3">
      <c r="B177" s="315" t="s">
        <v>118</v>
      </c>
      <c r="C177" s="25" t="s">
        <v>4</v>
      </c>
      <c r="D177" s="26" t="s">
        <v>108</v>
      </c>
      <c r="E177" s="27" t="s">
        <v>17</v>
      </c>
      <c r="F177" s="405" t="e">
        <f>Tablo142[[#This Row],[Verimlilik
%]]+Tablo142[[#This Row],[Net İşçilik Kapasite Kaybı %]]</f>
        <v>#DIV/0!</v>
      </c>
      <c r="G177" s="89" t="e">
        <f t="shared" si="38"/>
        <v>#DIV/0!</v>
      </c>
      <c r="H177" s="43" t="e">
        <f>Tablo142[[#This Row],[Duruş]]/Tablo142[[#This Row],[Net Kapasite Direkt]]*100</f>
        <v>#DIV/0!</v>
      </c>
      <c r="I177" s="43" t="e">
        <f>(Tablo142[[#This Row],[Net Kapasite Direkt]]-Tablo142[[#This Row],[Toplam Girilen İşçilik]])/Tablo142[[#This Row],[Net Kapasite Direkt]]*100</f>
        <v>#DIV/0!</v>
      </c>
      <c r="J177" s="28" t="e">
        <f t="shared" si="39"/>
        <v>#DIV/0!</v>
      </c>
      <c r="K177" s="29">
        <f t="shared" si="40"/>
        <v>0</v>
      </c>
      <c r="L177" s="29">
        <f t="shared" si="41"/>
        <v>0</v>
      </c>
      <c r="M177" s="30" t="e">
        <f t="shared" si="42"/>
        <v>#DIV/0!</v>
      </c>
      <c r="N177" s="30">
        <f>Tablo142[[#This Row],[Ödünç İşçilik]]+Tablo142[[#This Row],[Üretilen Değer (Sap Verisi)]]</f>
        <v>0</v>
      </c>
      <c r="O177" s="61">
        <f>SUMIFS(Tablo2[Kasım],Tablo2[BÖLÜM],Tablo142[[#This Row],[Bölüm]])/60</f>
        <v>0</v>
      </c>
      <c r="P177" s="31">
        <f>AC177+O177+Tablo142[[#This Row],[Ödünç İşçilik]]</f>
        <v>0</v>
      </c>
      <c r="Q177" s="31">
        <f t="shared" si="43"/>
        <v>0</v>
      </c>
      <c r="R177" s="437"/>
      <c r="S177" s="435"/>
      <c r="T177" s="435"/>
      <c r="U177" s="435"/>
      <c r="V177" s="435"/>
      <c r="W177" s="435"/>
      <c r="X177" s="404"/>
      <c r="Y177" s="435"/>
      <c r="Z177" s="435"/>
      <c r="AA177" s="435"/>
      <c r="AB177" s="435"/>
      <c r="AC177" s="436"/>
    </row>
    <row r="178" spans="2:29" ht="19.95" customHeight="1" x14ac:dyDescent="0.3">
      <c r="B178" s="315" t="s">
        <v>118</v>
      </c>
      <c r="C178" s="25" t="s">
        <v>4</v>
      </c>
      <c r="D178" s="26" t="s">
        <v>108</v>
      </c>
      <c r="E178" s="27" t="s">
        <v>29</v>
      </c>
      <c r="F178" s="405" t="e">
        <f>Tablo142[[#This Row],[Verimlilik
%]]+Tablo142[[#This Row],[Net İşçilik Kapasite Kaybı %]]</f>
        <v>#DIV/0!</v>
      </c>
      <c r="G178" s="89" t="e">
        <f t="shared" si="38"/>
        <v>#DIV/0!</v>
      </c>
      <c r="H178" s="43" t="e">
        <f>Tablo142[[#This Row],[Duruş]]/Tablo142[[#This Row],[Net Kapasite Direkt]]*100</f>
        <v>#DIV/0!</v>
      </c>
      <c r="I178" s="43" t="e">
        <f>(Tablo142[[#This Row],[Net Kapasite Direkt]]-Tablo142[[#This Row],[Toplam Girilen İşçilik]])/Tablo142[[#This Row],[Net Kapasite Direkt]]*100</f>
        <v>#DIV/0!</v>
      </c>
      <c r="J178" s="28" t="e">
        <f t="shared" si="39"/>
        <v>#DIV/0!</v>
      </c>
      <c r="K178" s="29">
        <f t="shared" si="40"/>
        <v>0</v>
      </c>
      <c r="L178" s="29">
        <f t="shared" si="41"/>
        <v>0</v>
      </c>
      <c r="M178" s="30" t="e">
        <f t="shared" si="42"/>
        <v>#DIV/0!</v>
      </c>
      <c r="N178" s="30">
        <f>Tablo142[[#This Row],[Ödünç İşçilik]]+Tablo142[[#This Row],[Üretilen Değer (Sap Verisi)]]</f>
        <v>0</v>
      </c>
      <c r="O178" s="61">
        <f>SUMIFS(Tablo2[Kasım],Tablo2[BÖLÜM],Tablo142[[#This Row],[Bölüm]])/60</f>
        <v>0</v>
      </c>
      <c r="P178" s="31">
        <f>AC178+O178+Tablo142[[#This Row],[Ödünç İşçilik]]</f>
        <v>0</v>
      </c>
      <c r="Q178" s="31">
        <f t="shared" si="43"/>
        <v>0</v>
      </c>
      <c r="R178" s="437"/>
      <c r="S178" s="435"/>
      <c r="T178" s="435"/>
      <c r="U178" s="435"/>
      <c r="V178" s="435"/>
      <c r="W178" s="435"/>
      <c r="X178" s="404"/>
      <c r="Y178" s="435"/>
      <c r="Z178" s="435"/>
      <c r="AA178" s="435"/>
      <c r="AB178" s="435"/>
      <c r="AC178" s="436"/>
    </row>
    <row r="179" spans="2:29" ht="19.95" customHeight="1" x14ac:dyDescent="0.3">
      <c r="B179" s="315" t="s">
        <v>118</v>
      </c>
      <c r="C179" s="25" t="s">
        <v>4</v>
      </c>
      <c r="D179" s="26" t="s">
        <v>108</v>
      </c>
      <c r="E179" s="27" t="s">
        <v>43</v>
      </c>
      <c r="F179" s="405" t="e">
        <f>Tablo142[[#This Row],[Verimlilik
%]]+Tablo142[[#This Row],[Net İşçilik Kapasite Kaybı %]]</f>
        <v>#DIV/0!</v>
      </c>
      <c r="G179" s="89" t="e">
        <f t="shared" si="38"/>
        <v>#DIV/0!</v>
      </c>
      <c r="H179" s="43" t="e">
        <f>Tablo142[[#This Row],[Duruş]]/Tablo142[[#This Row],[Net Kapasite Direkt]]*100</f>
        <v>#DIV/0!</v>
      </c>
      <c r="I179" s="43" t="e">
        <f>(Tablo142[[#This Row],[Net Kapasite Direkt]]-Tablo142[[#This Row],[Toplam Girilen İşçilik]])/Tablo142[[#This Row],[Net Kapasite Direkt]]*100</f>
        <v>#DIV/0!</v>
      </c>
      <c r="J179" s="28" t="e">
        <f t="shared" si="39"/>
        <v>#DIV/0!</v>
      </c>
      <c r="K179" s="29">
        <f t="shared" si="40"/>
        <v>0</v>
      </c>
      <c r="L179" s="29">
        <f t="shared" si="41"/>
        <v>0</v>
      </c>
      <c r="M179" s="30" t="e">
        <f t="shared" si="42"/>
        <v>#DIV/0!</v>
      </c>
      <c r="N179" s="30">
        <f>Tablo142[[#This Row],[Ödünç İşçilik]]+Tablo142[[#This Row],[Üretilen Değer (Sap Verisi)]]</f>
        <v>0</v>
      </c>
      <c r="O179" s="61">
        <f>SUMIFS(Tablo2[Kasım],Tablo2[BÖLÜM],Tablo142[[#This Row],[Bölüm]])/60</f>
        <v>0</v>
      </c>
      <c r="P179" s="31">
        <f>AC179+O179+Tablo142[[#This Row],[Ödünç İşçilik]]</f>
        <v>0</v>
      </c>
      <c r="Q179" s="31">
        <f t="shared" si="43"/>
        <v>0</v>
      </c>
      <c r="R179" s="437"/>
      <c r="S179" s="435"/>
      <c r="T179" s="435"/>
      <c r="U179" s="435"/>
      <c r="V179" s="435"/>
      <c r="W179" s="435"/>
      <c r="X179" s="404"/>
      <c r="Y179" s="435"/>
      <c r="Z179" s="435"/>
      <c r="AA179" s="435"/>
      <c r="AB179" s="435"/>
      <c r="AC179" s="436"/>
    </row>
    <row r="180" spans="2:29" ht="19.95" customHeight="1" x14ac:dyDescent="0.3">
      <c r="B180" s="315" t="s">
        <v>118</v>
      </c>
      <c r="C180" s="25" t="s">
        <v>1011</v>
      </c>
      <c r="D180" s="26" t="s">
        <v>108</v>
      </c>
      <c r="E180" s="27" t="s">
        <v>19</v>
      </c>
      <c r="F180" s="405" t="e">
        <f>Tablo142[[#This Row],[Verimlilik
%]]+Tablo142[[#This Row],[Net İşçilik Kapasite Kaybı %]]</f>
        <v>#DIV/0!</v>
      </c>
      <c r="G180" s="89" t="e">
        <f t="shared" si="38"/>
        <v>#DIV/0!</v>
      </c>
      <c r="H180" s="43" t="e">
        <f>Tablo142[[#This Row],[Duruş]]/Tablo142[[#This Row],[Net Kapasite Direkt]]*100</f>
        <v>#DIV/0!</v>
      </c>
      <c r="I180" s="43" t="e">
        <f>(Tablo142[[#This Row],[Net Kapasite Direkt]]-Tablo142[[#This Row],[Toplam Girilen İşçilik]])/Tablo142[[#This Row],[Net Kapasite Direkt]]*100</f>
        <v>#DIV/0!</v>
      </c>
      <c r="J180" s="28" t="e">
        <f t="shared" si="39"/>
        <v>#DIV/0!</v>
      </c>
      <c r="K180" s="29">
        <f t="shared" si="40"/>
        <v>0</v>
      </c>
      <c r="L180" s="29">
        <f t="shared" si="41"/>
        <v>0</v>
      </c>
      <c r="M180" s="30" t="e">
        <f t="shared" si="42"/>
        <v>#DIV/0!</v>
      </c>
      <c r="N180" s="30">
        <f>Tablo142[[#This Row],[Ödünç İşçilik]]+Tablo142[[#This Row],[Üretilen Değer (Sap Verisi)]]</f>
        <v>0</v>
      </c>
      <c r="O180" s="61">
        <f>SUMIFS(Tablo2[Kasım],Tablo2[BÖLÜM],Tablo142[[#This Row],[Bölüm]])/60</f>
        <v>0</v>
      </c>
      <c r="P180" s="31">
        <f>AC180+O180+Tablo142[[#This Row],[Ödünç İşçilik]]</f>
        <v>0</v>
      </c>
      <c r="Q180" s="31">
        <f t="shared" si="43"/>
        <v>0</v>
      </c>
      <c r="R180" s="437"/>
      <c r="S180" s="435"/>
      <c r="T180" s="435"/>
      <c r="U180" s="435"/>
      <c r="V180" s="435"/>
      <c r="W180" s="435"/>
      <c r="X180" s="404"/>
      <c r="Y180" s="435"/>
      <c r="Z180" s="435"/>
      <c r="AA180" s="435"/>
      <c r="AB180" s="435"/>
      <c r="AC180" s="436"/>
    </row>
    <row r="181" spans="2:29" ht="19.95" customHeight="1" x14ac:dyDescent="0.3">
      <c r="B181" s="315" t="s">
        <v>118</v>
      </c>
      <c r="C181" s="25" t="s">
        <v>4</v>
      </c>
      <c r="D181" s="26" t="s">
        <v>25</v>
      </c>
      <c r="E181" s="27" t="s">
        <v>40</v>
      </c>
      <c r="F181" s="405" t="e">
        <f>Tablo142[[#This Row],[Verimlilik
%]]+Tablo142[[#This Row],[Net İşçilik Kapasite Kaybı %]]</f>
        <v>#DIV/0!</v>
      </c>
      <c r="G181" s="89" t="e">
        <f t="shared" si="38"/>
        <v>#DIV/0!</v>
      </c>
      <c r="H181" s="43" t="e">
        <f>Tablo142[[#This Row],[Duruş]]/Tablo142[[#This Row],[Net Kapasite Direkt]]*100</f>
        <v>#DIV/0!</v>
      </c>
      <c r="I181" s="43" t="e">
        <f>(Tablo142[[#This Row],[Net Kapasite Direkt]]-Tablo142[[#This Row],[Toplam Girilen İşçilik]])/Tablo142[[#This Row],[Net Kapasite Direkt]]*100</f>
        <v>#DIV/0!</v>
      </c>
      <c r="J181" s="28" t="e">
        <f t="shared" si="39"/>
        <v>#DIV/0!</v>
      </c>
      <c r="K181" s="29">
        <f t="shared" si="40"/>
        <v>0</v>
      </c>
      <c r="L181" s="29">
        <f t="shared" si="41"/>
        <v>0</v>
      </c>
      <c r="M181" s="30" t="e">
        <f t="shared" si="42"/>
        <v>#DIV/0!</v>
      </c>
      <c r="N181" s="30">
        <f>Tablo142[[#This Row],[Ödünç İşçilik]]+Tablo142[[#This Row],[Üretilen Değer (Sap Verisi)]]</f>
        <v>0</v>
      </c>
      <c r="O181" s="61">
        <f>SUMIFS(Tablo2[Kasım],Tablo2[BÖLÜM],Tablo142[[#This Row],[Bölüm]])/60</f>
        <v>0</v>
      </c>
      <c r="P181" s="31">
        <f>AC181+O181+Tablo142[[#This Row],[Ödünç İşçilik]]</f>
        <v>0</v>
      </c>
      <c r="Q181" s="31">
        <f t="shared" si="43"/>
        <v>0</v>
      </c>
      <c r="R181" s="437"/>
      <c r="S181" s="435"/>
      <c r="T181" s="435"/>
      <c r="U181" s="435"/>
      <c r="V181" s="435"/>
      <c r="W181" s="435"/>
      <c r="X181" s="404"/>
      <c r="Y181" s="435"/>
      <c r="Z181" s="435"/>
      <c r="AA181" s="435"/>
      <c r="AB181" s="435"/>
      <c r="AC181" s="436"/>
    </row>
    <row r="182" spans="2:29" ht="19.95" customHeight="1" x14ac:dyDescent="0.3">
      <c r="B182" s="315" t="s">
        <v>118</v>
      </c>
      <c r="C182" s="25" t="s">
        <v>4</v>
      </c>
      <c r="D182" s="26" t="s">
        <v>25</v>
      </c>
      <c r="E182" s="27" t="s">
        <v>35</v>
      </c>
      <c r="F182" s="405" t="e">
        <f>Tablo142[[#This Row],[Verimlilik
%]]+Tablo142[[#This Row],[Net İşçilik Kapasite Kaybı %]]</f>
        <v>#DIV/0!</v>
      </c>
      <c r="G182" s="89" t="e">
        <f t="shared" si="38"/>
        <v>#DIV/0!</v>
      </c>
      <c r="H182" s="43" t="e">
        <f>Tablo142[[#This Row],[Duruş]]/Tablo142[[#This Row],[Net Kapasite Direkt]]*100</f>
        <v>#DIV/0!</v>
      </c>
      <c r="I182" s="43" t="e">
        <f>(Tablo142[[#This Row],[Net Kapasite Direkt]]-Tablo142[[#This Row],[Toplam Girilen İşçilik]])/Tablo142[[#This Row],[Net Kapasite Direkt]]*100</f>
        <v>#DIV/0!</v>
      </c>
      <c r="J182" s="28" t="e">
        <f t="shared" si="39"/>
        <v>#DIV/0!</v>
      </c>
      <c r="K182" s="29">
        <f t="shared" si="40"/>
        <v>0</v>
      </c>
      <c r="L182" s="29">
        <f t="shared" si="41"/>
        <v>0</v>
      </c>
      <c r="M182" s="30" t="e">
        <f t="shared" si="42"/>
        <v>#DIV/0!</v>
      </c>
      <c r="N182" s="30">
        <f>Tablo142[[#This Row],[Ödünç İşçilik]]+Tablo142[[#This Row],[Üretilen Değer (Sap Verisi)]]</f>
        <v>0</v>
      </c>
      <c r="O182" s="61">
        <f>SUMIFS(Tablo2[Kasım],Tablo2[BÖLÜM],Tablo142[[#This Row],[Bölüm]])/60</f>
        <v>0</v>
      </c>
      <c r="P182" s="31">
        <f>AC182+O182+Tablo142[[#This Row],[Ödünç İşçilik]]</f>
        <v>0</v>
      </c>
      <c r="Q182" s="31">
        <f t="shared" si="43"/>
        <v>0</v>
      </c>
      <c r="R182" s="437"/>
      <c r="S182" s="435"/>
      <c r="T182" s="435"/>
      <c r="U182" s="435"/>
      <c r="V182" s="435"/>
      <c r="W182" s="435"/>
      <c r="X182" s="404"/>
      <c r="Y182" s="435"/>
      <c r="Z182" s="435"/>
      <c r="AA182" s="435"/>
      <c r="AB182" s="435"/>
      <c r="AC182" s="436"/>
    </row>
    <row r="183" spans="2:29" ht="19.95" customHeight="1" x14ac:dyDescent="0.3">
      <c r="B183" s="315" t="s">
        <v>118</v>
      </c>
      <c r="C183" s="25" t="s">
        <v>4</v>
      </c>
      <c r="D183" s="26" t="s">
        <v>25</v>
      </c>
      <c r="E183" s="27" t="s">
        <v>25</v>
      </c>
      <c r="F183" s="405" t="e">
        <f>Tablo142[[#This Row],[Verimlilik
%]]+Tablo142[[#This Row],[Net İşçilik Kapasite Kaybı %]]</f>
        <v>#DIV/0!</v>
      </c>
      <c r="G183" s="89" t="e">
        <f t="shared" si="38"/>
        <v>#DIV/0!</v>
      </c>
      <c r="H183" s="43" t="e">
        <f>Tablo142[[#This Row],[Duruş]]/Tablo142[[#This Row],[Net Kapasite Direkt]]*100</f>
        <v>#DIV/0!</v>
      </c>
      <c r="I183" s="43" t="e">
        <f>(Tablo142[[#This Row],[Net Kapasite Direkt]]-Tablo142[[#This Row],[Toplam Girilen İşçilik]])/Tablo142[[#This Row],[Net Kapasite Direkt]]*100</f>
        <v>#DIV/0!</v>
      </c>
      <c r="J183" s="28" t="e">
        <f t="shared" si="39"/>
        <v>#DIV/0!</v>
      </c>
      <c r="K183" s="29">
        <f t="shared" si="40"/>
        <v>0</v>
      </c>
      <c r="L183" s="29">
        <f t="shared" si="41"/>
        <v>0</v>
      </c>
      <c r="M183" s="30" t="e">
        <f t="shared" si="42"/>
        <v>#DIV/0!</v>
      </c>
      <c r="N183" s="30">
        <f>Tablo142[[#This Row],[Ödünç İşçilik]]+Tablo142[[#This Row],[Üretilen Değer (Sap Verisi)]]</f>
        <v>0</v>
      </c>
      <c r="O183" s="61">
        <f>SUMIFS(Tablo2[Kasım],Tablo2[BÖLÜM],Tablo142[[#This Row],[Bölüm]])/60</f>
        <v>0</v>
      </c>
      <c r="P183" s="31">
        <f>AC183+O183+Tablo142[[#This Row],[Ödünç İşçilik]]</f>
        <v>0</v>
      </c>
      <c r="Q183" s="31">
        <f t="shared" si="43"/>
        <v>0</v>
      </c>
      <c r="R183" s="437"/>
      <c r="S183" s="435"/>
      <c r="T183" s="435"/>
      <c r="U183" s="435"/>
      <c r="V183" s="435"/>
      <c r="W183" s="435"/>
      <c r="X183" s="404"/>
      <c r="Y183" s="435"/>
      <c r="Z183" s="435"/>
      <c r="AA183" s="435"/>
      <c r="AB183" s="435"/>
      <c r="AC183" s="436"/>
    </row>
    <row r="184" spans="2:29" ht="19.95" customHeight="1" x14ac:dyDescent="0.3">
      <c r="B184" s="315" t="s">
        <v>118</v>
      </c>
      <c r="C184" s="25" t="s">
        <v>4</v>
      </c>
      <c r="D184" s="26" t="s">
        <v>25</v>
      </c>
      <c r="E184" s="27" t="s">
        <v>23</v>
      </c>
      <c r="F184" s="405" t="e">
        <f>Tablo142[[#This Row],[Verimlilik
%]]+Tablo142[[#This Row],[Net İşçilik Kapasite Kaybı %]]</f>
        <v>#DIV/0!</v>
      </c>
      <c r="G184" s="89" t="e">
        <f t="shared" ref="G184:G199" si="44">(AC184+X184)/K184*100</f>
        <v>#DIV/0!</v>
      </c>
      <c r="H184" s="43" t="e">
        <f>Tablo142[[#This Row],[Duruş]]/Tablo142[[#This Row],[Net Kapasite Direkt]]*100</f>
        <v>#DIV/0!</v>
      </c>
      <c r="I184" s="43" t="e">
        <f>(Tablo142[[#This Row],[Net Kapasite Direkt]]-Tablo142[[#This Row],[Toplam Girilen İşçilik]])/Tablo142[[#This Row],[Net Kapasite Direkt]]*100</f>
        <v>#DIV/0!</v>
      </c>
      <c r="J184" s="28" t="e">
        <f t="shared" si="39"/>
        <v>#DIV/0!</v>
      </c>
      <c r="K184" s="29">
        <f t="shared" si="40"/>
        <v>0</v>
      </c>
      <c r="L184" s="29">
        <f t="shared" si="41"/>
        <v>0</v>
      </c>
      <c r="M184" s="30" t="e">
        <f t="shared" si="42"/>
        <v>#DIV/0!</v>
      </c>
      <c r="N184" s="30">
        <f>Tablo142[[#This Row],[Ödünç İşçilik]]+Tablo142[[#This Row],[Üretilen Değer (Sap Verisi)]]</f>
        <v>0</v>
      </c>
      <c r="O184" s="61">
        <f>SUMIFS(Tablo2[Kasım],Tablo2[BÖLÜM],Tablo142[[#This Row],[Bölüm]])/60</f>
        <v>0</v>
      </c>
      <c r="P184" s="31">
        <f>AC184+O184+Tablo142[[#This Row],[Ödünç İşçilik]]</f>
        <v>0</v>
      </c>
      <c r="Q184" s="31">
        <f t="shared" si="43"/>
        <v>0</v>
      </c>
      <c r="R184" s="437"/>
      <c r="S184" s="435"/>
      <c r="T184" s="435"/>
      <c r="U184" s="435"/>
      <c r="V184" s="435"/>
      <c r="W184" s="435"/>
      <c r="X184" s="404"/>
      <c r="Y184" s="435"/>
      <c r="Z184" s="435"/>
      <c r="AA184" s="435"/>
      <c r="AB184" s="435"/>
      <c r="AC184" s="436"/>
    </row>
    <row r="185" spans="2:29" ht="19.95" customHeight="1" thickBot="1" x14ac:dyDescent="0.35">
      <c r="B185" s="317" t="s">
        <v>118</v>
      </c>
      <c r="C185" s="232" t="s">
        <v>4</v>
      </c>
      <c r="D185" s="233" t="s">
        <v>25</v>
      </c>
      <c r="E185" s="234" t="s">
        <v>20</v>
      </c>
      <c r="F185" s="453" t="e">
        <f>Tablo142[[#This Row],[Verimlilik
%]]+Tablo142[[#This Row],[Net İşçilik Kapasite Kaybı %]]</f>
        <v>#DIV/0!</v>
      </c>
      <c r="G185" s="454" t="e">
        <f t="shared" si="44"/>
        <v>#DIV/0!</v>
      </c>
      <c r="H185" s="236" t="e">
        <f>Tablo142[[#This Row],[Duruş]]/Tablo142[[#This Row],[Net Kapasite Direkt]]*100</f>
        <v>#DIV/0!</v>
      </c>
      <c r="I185" s="236" t="e">
        <f>(Tablo142[[#This Row],[Net Kapasite Direkt]]-Tablo142[[#This Row],[Toplam Girilen İşçilik]])/Tablo142[[#This Row],[Net Kapasite Direkt]]*100</f>
        <v>#DIV/0!</v>
      </c>
      <c r="J185" s="237" t="e">
        <f t="shared" si="39"/>
        <v>#DIV/0!</v>
      </c>
      <c r="K185" s="238">
        <f t="shared" si="40"/>
        <v>0</v>
      </c>
      <c r="L185" s="238">
        <f t="shared" si="41"/>
        <v>0</v>
      </c>
      <c r="M185" s="239" t="e">
        <f t="shared" si="42"/>
        <v>#DIV/0!</v>
      </c>
      <c r="N185" s="239">
        <f>Tablo142[[#This Row],[Ödünç İşçilik]]+Tablo142[[#This Row],[Üretilen Değer (Sap Verisi)]]</f>
        <v>0</v>
      </c>
      <c r="O185" s="240">
        <f>SUMIFS(Tablo2[Kasım],Tablo2[BÖLÜM],Tablo142[[#This Row],[Bölüm]])/60</f>
        <v>0</v>
      </c>
      <c r="P185" s="241">
        <f>AC185+O185+Tablo142[[#This Row],[Ödünç İşçilik]]</f>
        <v>0</v>
      </c>
      <c r="Q185" s="241">
        <f t="shared" si="43"/>
        <v>0</v>
      </c>
      <c r="R185" s="455"/>
      <c r="S185" s="456"/>
      <c r="T185" s="456"/>
      <c r="U185" s="456"/>
      <c r="V185" s="456"/>
      <c r="W185" s="456"/>
      <c r="X185" s="457"/>
      <c r="Y185" s="456"/>
      <c r="Z185" s="456"/>
      <c r="AA185" s="456"/>
      <c r="AB185" s="456"/>
      <c r="AC185" s="458"/>
    </row>
    <row r="186" spans="2:29" ht="19.95" customHeight="1" x14ac:dyDescent="0.3">
      <c r="B186" s="315" t="s">
        <v>119</v>
      </c>
      <c r="C186" s="25" t="s">
        <v>4</v>
      </c>
      <c r="D186" s="26" t="s">
        <v>108</v>
      </c>
      <c r="E186" s="27" t="s">
        <v>5</v>
      </c>
      <c r="F186" s="405" t="e">
        <f>Tablo142[[#This Row],[Verimlilik
%]]+Tablo142[[#This Row],[Net İşçilik Kapasite Kaybı %]]</f>
        <v>#DIV/0!</v>
      </c>
      <c r="G186" s="89" t="e">
        <f t="shared" si="44"/>
        <v>#DIV/0!</v>
      </c>
      <c r="H186" s="43" t="e">
        <f>Tablo142[[#This Row],[Duruş]]/Tablo142[[#This Row],[Net Kapasite Direkt]]*100</f>
        <v>#DIV/0!</v>
      </c>
      <c r="I186" s="43" t="e">
        <f>(Tablo142[[#This Row],[Net Kapasite Direkt]]-Tablo142[[#This Row],[Toplam Girilen İşçilik]])/Tablo142[[#This Row],[Net Kapasite Direkt]]*100</f>
        <v>#DIV/0!</v>
      </c>
      <c r="J186" s="28" t="e">
        <f t="shared" si="39"/>
        <v>#DIV/0!</v>
      </c>
      <c r="K186" s="29">
        <f t="shared" si="40"/>
        <v>0</v>
      </c>
      <c r="L186" s="29">
        <f t="shared" si="41"/>
        <v>0</v>
      </c>
      <c r="M186" s="30" t="e">
        <f t="shared" si="42"/>
        <v>#DIV/0!</v>
      </c>
      <c r="N186" s="30">
        <f>Tablo142[[#This Row],[Ödünç İşçilik]]+Tablo142[[#This Row],[Üretilen Değer (Sap Verisi)]]</f>
        <v>0</v>
      </c>
      <c r="O186" s="61">
        <f>SUMIFS(Tablo2[Aralık],Tablo2[BÖLÜM],Tablo142[[#This Row],[Bölüm]])/60</f>
        <v>0</v>
      </c>
      <c r="P186" s="31">
        <f>AC186+O186+Tablo142[[#This Row],[Ödünç İşçilik]]</f>
        <v>0</v>
      </c>
      <c r="Q186" s="31">
        <f t="shared" si="43"/>
        <v>0</v>
      </c>
      <c r="R186" s="437"/>
      <c r="S186" s="435"/>
      <c r="T186" s="435"/>
      <c r="U186" s="435"/>
      <c r="V186" s="435"/>
      <c r="W186" s="435"/>
      <c r="X186" s="479"/>
      <c r="Y186" s="435"/>
      <c r="Z186" s="435"/>
      <c r="AA186" s="435"/>
      <c r="AB186" s="435"/>
      <c r="AC186" s="436"/>
    </row>
    <row r="187" spans="2:29" ht="19.95" customHeight="1" x14ac:dyDescent="0.3">
      <c r="B187" s="315" t="s">
        <v>119</v>
      </c>
      <c r="C187" s="25" t="s">
        <v>4</v>
      </c>
      <c r="D187" s="26" t="s">
        <v>108</v>
      </c>
      <c r="E187" s="27" t="s">
        <v>46</v>
      </c>
      <c r="F187" s="405" t="e">
        <f>Tablo142[[#This Row],[Verimlilik
%]]+Tablo142[[#This Row],[Net İşçilik Kapasite Kaybı %]]</f>
        <v>#DIV/0!</v>
      </c>
      <c r="G187" s="89" t="e">
        <f t="shared" si="44"/>
        <v>#DIV/0!</v>
      </c>
      <c r="H187" s="43" t="e">
        <f>Tablo142[[#This Row],[Duruş]]/Tablo142[[#This Row],[Net Kapasite Direkt]]*100</f>
        <v>#DIV/0!</v>
      </c>
      <c r="I187" s="43" t="e">
        <f>(Tablo142[[#This Row],[Net Kapasite Direkt]]-Tablo142[[#This Row],[Toplam Girilen İşçilik]])/Tablo142[[#This Row],[Net Kapasite Direkt]]*100</f>
        <v>#DIV/0!</v>
      </c>
      <c r="J187" s="28" t="e">
        <f t="shared" si="39"/>
        <v>#DIV/0!</v>
      </c>
      <c r="K187" s="29">
        <f t="shared" si="40"/>
        <v>0</v>
      </c>
      <c r="L187" s="29">
        <f t="shared" si="41"/>
        <v>0</v>
      </c>
      <c r="M187" s="30" t="e">
        <f t="shared" si="42"/>
        <v>#DIV/0!</v>
      </c>
      <c r="N187" s="30">
        <f>Tablo142[[#This Row],[Ödünç İşçilik]]+Tablo142[[#This Row],[Üretilen Değer (Sap Verisi)]]</f>
        <v>0</v>
      </c>
      <c r="O187" s="61">
        <f>SUMIFS(Tablo2[Aralık],Tablo2[BÖLÜM],Tablo142[[#This Row],[Bölüm]])/60</f>
        <v>0</v>
      </c>
      <c r="P187" s="31">
        <f>AC187+O187+Tablo142[[#This Row],[Ödünç İşçilik]]</f>
        <v>0</v>
      </c>
      <c r="Q187" s="31">
        <f t="shared" si="43"/>
        <v>0</v>
      </c>
      <c r="R187" s="437"/>
      <c r="S187" s="435"/>
      <c r="T187" s="435"/>
      <c r="U187" s="435"/>
      <c r="V187" s="435"/>
      <c r="W187" s="435"/>
      <c r="X187" s="404"/>
      <c r="Y187" s="435"/>
      <c r="Z187" s="435"/>
      <c r="AA187" s="435"/>
      <c r="AB187" s="435"/>
      <c r="AC187" s="436"/>
    </row>
    <row r="188" spans="2:29" ht="19.95" customHeight="1" x14ac:dyDescent="0.3">
      <c r="B188" s="315" t="s">
        <v>119</v>
      </c>
      <c r="C188" s="25" t="s">
        <v>4</v>
      </c>
      <c r="D188" s="26" t="s">
        <v>108</v>
      </c>
      <c r="E188" s="27" t="s">
        <v>13</v>
      </c>
      <c r="F188" s="405" t="e">
        <f>Tablo142[[#This Row],[Verimlilik
%]]+Tablo142[[#This Row],[Net İşçilik Kapasite Kaybı %]]</f>
        <v>#DIV/0!</v>
      </c>
      <c r="G188" s="89" t="e">
        <f t="shared" si="44"/>
        <v>#DIV/0!</v>
      </c>
      <c r="H188" s="43" t="e">
        <f>Tablo142[[#This Row],[Duruş]]/Tablo142[[#This Row],[Net Kapasite Direkt]]*100</f>
        <v>#DIV/0!</v>
      </c>
      <c r="I188" s="43" t="e">
        <f>(Tablo142[[#This Row],[Net Kapasite Direkt]]-Tablo142[[#This Row],[Toplam Girilen İşçilik]])/Tablo142[[#This Row],[Net Kapasite Direkt]]*100</f>
        <v>#DIV/0!</v>
      </c>
      <c r="J188" s="28" t="e">
        <f t="shared" si="39"/>
        <v>#DIV/0!</v>
      </c>
      <c r="K188" s="29">
        <f t="shared" si="40"/>
        <v>0</v>
      </c>
      <c r="L188" s="29">
        <f t="shared" si="41"/>
        <v>0</v>
      </c>
      <c r="M188" s="30" t="e">
        <f t="shared" si="42"/>
        <v>#DIV/0!</v>
      </c>
      <c r="N188" s="30">
        <f>Tablo142[[#This Row],[Ödünç İşçilik]]+Tablo142[[#This Row],[Üretilen Değer (Sap Verisi)]]</f>
        <v>0</v>
      </c>
      <c r="O188" s="61">
        <f>SUMIFS(Tablo2[Aralık],Tablo2[BÖLÜM],Tablo142[[#This Row],[Bölüm]])/60</f>
        <v>0</v>
      </c>
      <c r="P188" s="31">
        <f>AC188+O188+Tablo142[[#This Row],[Ödünç İşçilik]]</f>
        <v>0</v>
      </c>
      <c r="Q188" s="31">
        <f t="shared" si="43"/>
        <v>0</v>
      </c>
      <c r="R188" s="437"/>
      <c r="S188" s="435"/>
      <c r="T188" s="435"/>
      <c r="U188" s="435"/>
      <c r="V188" s="435"/>
      <c r="W188" s="435"/>
      <c r="X188" s="404"/>
      <c r="Y188" s="435"/>
      <c r="Z188" s="435"/>
      <c r="AA188" s="435"/>
      <c r="AB188" s="435"/>
      <c r="AC188" s="436"/>
    </row>
    <row r="189" spans="2:29" ht="19.95" customHeight="1" x14ac:dyDescent="0.3">
      <c r="B189" s="315" t="s">
        <v>119</v>
      </c>
      <c r="C189" s="25" t="s">
        <v>4</v>
      </c>
      <c r="D189" s="26" t="s">
        <v>108</v>
      </c>
      <c r="E189" s="27" t="s">
        <v>9</v>
      </c>
      <c r="F189" s="405" t="e">
        <f>Tablo142[[#This Row],[Verimlilik
%]]+Tablo142[[#This Row],[Net İşçilik Kapasite Kaybı %]]</f>
        <v>#DIV/0!</v>
      </c>
      <c r="G189" s="89" t="e">
        <f t="shared" ref="G189:G196" si="45">(AC189+X189)/K189*100</f>
        <v>#DIV/0!</v>
      </c>
      <c r="H189" s="43" t="e">
        <f>Tablo142[[#This Row],[Duruş]]/Tablo142[[#This Row],[Net Kapasite Direkt]]*100</f>
        <v>#DIV/0!</v>
      </c>
      <c r="I189" s="43" t="e">
        <f>(Tablo142[[#This Row],[Net Kapasite Direkt]]-Tablo142[[#This Row],[Toplam Girilen İşçilik]])/Tablo142[[#This Row],[Net Kapasite Direkt]]*100</f>
        <v>#DIV/0!</v>
      </c>
      <c r="J189" s="28" t="e">
        <f t="shared" si="39"/>
        <v>#DIV/0!</v>
      </c>
      <c r="K189" s="29">
        <f t="shared" si="40"/>
        <v>0</v>
      </c>
      <c r="L189" s="29">
        <f t="shared" si="41"/>
        <v>0</v>
      </c>
      <c r="M189" s="30" t="e">
        <f t="shared" si="42"/>
        <v>#DIV/0!</v>
      </c>
      <c r="N189" s="30">
        <f>Tablo142[[#This Row],[Ödünç İşçilik]]+Tablo142[[#This Row],[Üretilen Değer (Sap Verisi)]]</f>
        <v>0</v>
      </c>
      <c r="O189" s="61">
        <f>SUMIFS(Tablo2[Aralık],Tablo2[BÖLÜM],Tablo142[[#This Row],[Bölüm]])/60</f>
        <v>0</v>
      </c>
      <c r="P189" s="31">
        <f>AC189+O189+Tablo142[[#This Row],[Ödünç İşçilik]]</f>
        <v>0</v>
      </c>
      <c r="Q189" s="31">
        <f t="shared" si="43"/>
        <v>0</v>
      </c>
      <c r="R189" s="437"/>
      <c r="S189" s="435"/>
      <c r="T189" s="435"/>
      <c r="U189" s="435"/>
      <c r="V189" s="435"/>
      <c r="W189" s="435"/>
      <c r="X189" s="404"/>
      <c r="Y189" s="435"/>
      <c r="Z189" s="435"/>
      <c r="AA189" s="435"/>
      <c r="AB189" s="435"/>
      <c r="AC189" s="436"/>
    </row>
    <row r="190" spans="2:29" ht="19.95" customHeight="1" x14ac:dyDescent="0.3">
      <c r="B190" s="315" t="s">
        <v>119</v>
      </c>
      <c r="C190" s="25" t="s">
        <v>1011</v>
      </c>
      <c r="D190" s="26" t="s">
        <v>108</v>
      </c>
      <c r="E190" s="27" t="s">
        <v>1015</v>
      </c>
      <c r="F190" s="405" t="e">
        <f>Tablo142[[#This Row],[Verimlilik
%]]+Tablo142[[#This Row],[Net İşçilik Kapasite Kaybı %]]</f>
        <v>#DIV/0!</v>
      </c>
      <c r="G190" s="89" t="e">
        <f t="shared" si="45"/>
        <v>#DIV/0!</v>
      </c>
      <c r="H190" s="43" t="e">
        <f>Tablo142[[#This Row],[Duruş]]/Tablo142[[#This Row],[Net Kapasite Direkt]]*100</f>
        <v>#DIV/0!</v>
      </c>
      <c r="I190" s="43" t="e">
        <f>(Tablo142[[#This Row],[Net Kapasite Direkt]]-Tablo142[[#This Row],[Toplam Girilen İşçilik]])/Tablo142[[#This Row],[Net Kapasite Direkt]]*100</f>
        <v>#DIV/0!</v>
      </c>
      <c r="J190" s="28" t="e">
        <f t="shared" si="39"/>
        <v>#DIV/0!</v>
      </c>
      <c r="K190" s="29">
        <f t="shared" si="40"/>
        <v>0</v>
      </c>
      <c r="L190" s="29">
        <f t="shared" si="41"/>
        <v>0</v>
      </c>
      <c r="M190" s="30" t="e">
        <f t="shared" si="42"/>
        <v>#DIV/0!</v>
      </c>
      <c r="N190" s="30">
        <f>Tablo142[[#This Row],[Ödünç İşçilik]]+Tablo142[[#This Row],[Üretilen Değer (Sap Verisi)]]</f>
        <v>0</v>
      </c>
      <c r="O190" s="61">
        <f>SUMIFS(Tablo2[Aralık],Tablo2[BÖLÜM],Tablo142[[#This Row],[Bölüm]])/60</f>
        <v>0</v>
      </c>
      <c r="P190" s="31">
        <f>AC190+O190+Tablo142[[#This Row],[Ödünç İşçilik]]</f>
        <v>0</v>
      </c>
      <c r="Q190" s="31">
        <f t="shared" si="43"/>
        <v>0</v>
      </c>
      <c r="R190" s="437"/>
      <c r="S190" s="435"/>
      <c r="T190" s="435"/>
      <c r="U190" s="435"/>
      <c r="V190" s="435"/>
      <c r="W190" s="435"/>
      <c r="X190" s="404"/>
      <c r="Y190" s="435"/>
      <c r="Z190" s="435"/>
      <c r="AA190" s="435"/>
      <c r="AB190" s="435"/>
      <c r="AC190" s="436"/>
    </row>
    <row r="191" spans="2:29" ht="19.95" customHeight="1" x14ac:dyDescent="0.3">
      <c r="B191" s="315" t="s">
        <v>119</v>
      </c>
      <c r="C191" s="25" t="s">
        <v>1011</v>
      </c>
      <c r="D191" s="26" t="s">
        <v>108</v>
      </c>
      <c r="E191" s="27" t="s">
        <v>1016</v>
      </c>
      <c r="F191" s="405" t="e">
        <f>Tablo142[[#This Row],[Verimlilik
%]]+Tablo142[[#This Row],[Net İşçilik Kapasite Kaybı %]]</f>
        <v>#DIV/0!</v>
      </c>
      <c r="G191" s="89" t="e">
        <f t="shared" si="45"/>
        <v>#DIV/0!</v>
      </c>
      <c r="H191" s="43" t="e">
        <f>Tablo142[[#This Row],[Duruş]]/Tablo142[[#This Row],[Net Kapasite Direkt]]*100</f>
        <v>#DIV/0!</v>
      </c>
      <c r="I191" s="43" t="e">
        <f>(Tablo142[[#This Row],[Net Kapasite Direkt]]-Tablo142[[#This Row],[Toplam Girilen İşçilik]])/Tablo142[[#This Row],[Net Kapasite Direkt]]*100</f>
        <v>#DIV/0!</v>
      </c>
      <c r="J191" s="28" t="e">
        <f t="shared" si="39"/>
        <v>#DIV/0!</v>
      </c>
      <c r="K191" s="29">
        <f t="shared" si="40"/>
        <v>0</v>
      </c>
      <c r="L191" s="29">
        <f t="shared" si="41"/>
        <v>0</v>
      </c>
      <c r="M191" s="30" t="e">
        <f t="shared" si="42"/>
        <v>#DIV/0!</v>
      </c>
      <c r="N191" s="30">
        <f>Tablo142[[#This Row],[Ödünç İşçilik]]+Tablo142[[#This Row],[Üretilen Değer (Sap Verisi)]]</f>
        <v>0</v>
      </c>
      <c r="O191" s="61">
        <f>SUMIFS(Tablo2[Aralık],Tablo2[BÖLÜM],Tablo142[[#This Row],[Bölüm]])/60</f>
        <v>0</v>
      </c>
      <c r="P191" s="31">
        <f>AC191+O191+Tablo142[[#This Row],[Ödünç İşçilik]]</f>
        <v>0</v>
      </c>
      <c r="Q191" s="31">
        <f t="shared" si="43"/>
        <v>0</v>
      </c>
      <c r="R191" s="437"/>
      <c r="S191" s="435"/>
      <c r="T191" s="435"/>
      <c r="U191" s="435"/>
      <c r="V191" s="435"/>
      <c r="W191" s="435"/>
      <c r="X191" s="404"/>
      <c r="Y191" s="435"/>
      <c r="Z191" s="435"/>
      <c r="AA191" s="435"/>
      <c r="AB191" s="435"/>
      <c r="AC191" s="436"/>
    </row>
    <row r="192" spans="2:29" ht="19.95" customHeight="1" x14ac:dyDescent="0.3">
      <c r="B192" s="315" t="s">
        <v>119</v>
      </c>
      <c r="C192" s="25" t="s">
        <v>1011</v>
      </c>
      <c r="D192" s="26" t="s">
        <v>108</v>
      </c>
      <c r="E192" s="27" t="s">
        <v>1017</v>
      </c>
      <c r="F192" s="405" t="e">
        <f>Tablo142[[#This Row],[Verimlilik
%]]+Tablo142[[#This Row],[Net İşçilik Kapasite Kaybı %]]</f>
        <v>#DIV/0!</v>
      </c>
      <c r="G192" s="89" t="e">
        <f t="shared" si="45"/>
        <v>#DIV/0!</v>
      </c>
      <c r="H192" s="43" t="e">
        <f>Tablo142[[#This Row],[Duruş]]/Tablo142[[#This Row],[Net Kapasite Direkt]]*100</f>
        <v>#DIV/0!</v>
      </c>
      <c r="I192" s="43" t="e">
        <f>(Tablo142[[#This Row],[Net Kapasite Direkt]]-Tablo142[[#This Row],[Toplam Girilen İşçilik]])/Tablo142[[#This Row],[Net Kapasite Direkt]]*100</f>
        <v>#DIV/0!</v>
      </c>
      <c r="J192" s="28" t="e">
        <f t="shared" si="39"/>
        <v>#DIV/0!</v>
      </c>
      <c r="K192" s="29">
        <f t="shared" si="40"/>
        <v>0</v>
      </c>
      <c r="L192" s="29">
        <f t="shared" si="41"/>
        <v>0</v>
      </c>
      <c r="M192" s="30" t="e">
        <f t="shared" si="42"/>
        <v>#DIV/0!</v>
      </c>
      <c r="N192" s="30">
        <f>Tablo142[[#This Row],[Ödünç İşçilik]]+Tablo142[[#This Row],[Üretilen Değer (Sap Verisi)]]</f>
        <v>0</v>
      </c>
      <c r="O192" s="61">
        <f>SUMIFS(Tablo2[Aralık],Tablo2[BÖLÜM],Tablo142[[#This Row],[Bölüm]])/60</f>
        <v>0</v>
      </c>
      <c r="P192" s="31">
        <f>AC192+O192+Tablo142[[#This Row],[Ödünç İşçilik]]</f>
        <v>0</v>
      </c>
      <c r="Q192" s="31">
        <f t="shared" si="43"/>
        <v>0</v>
      </c>
      <c r="R192" s="437"/>
      <c r="S192" s="435"/>
      <c r="T192" s="435"/>
      <c r="U192" s="435"/>
      <c r="V192" s="435"/>
      <c r="W192" s="435"/>
      <c r="X192" s="404"/>
      <c r="Y192" s="435"/>
      <c r="Z192" s="435"/>
      <c r="AA192" s="435"/>
      <c r="AB192" s="435"/>
      <c r="AC192" s="436"/>
    </row>
    <row r="193" spans="2:29" ht="19.95" customHeight="1" x14ac:dyDescent="0.3">
      <c r="B193" s="315" t="s">
        <v>119</v>
      </c>
      <c r="C193" s="25" t="s">
        <v>1011</v>
      </c>
      <c r="D193" s="26" t="s">
        <v>108</v>
      </c>
      <c r="E193" s="27" t="s">
        <v>1014</v>
      </c>
      <c r="F193" s="405" t="e">
        <f>Tablo142[[#This Row],[Verimlilik
%]]+Tablo142[[#This Row],[Net İşçilik Kapasite Kaybı %]]</f>
        <v>#DIV/0!</v>
      </c>
      <c r="G193" s="89" t="e">
        <f t="shared" si="45"/>
        <v>#DIV/0!</v>
      </c>
      <c r="H193" s="43" t="e">
        <f>Tablo142[[#This Row],[Duruş]]/Tablo142[[#This Row],[Net Kapasite Direkt]]*100</f>
        <v>#DIV/0!</v>
      </c>
      <c r="I193" s="43" t="e">
        <f>(Tablo142[[#This Row],[Net Kapasite Direkt]]-Tablo142[[#This Row],[Toplam Girilen İşçilik]])/Tablo142[[#This Row],[Net Kapasite Direkt]]*100</f>
        <v>#DIV/0!</v>
      </c>
      <c r="J193" s="28" t="e">
        <f t="shared" si="39"/>
        <v>#DIV/0!</v>
      </c>
      <c r="K193" s="29">
        <f t="shared" si="40"/>
        <v>0</v>
      </c>
      <c r="L193" s="29">
        <f t="shared" si="41"/>
        <v>0</v>
      </c>
      <c r="M193" s="30" t="e">
        <f t="shared" si="42"/>
        <v>#DIV/0!</v>
      </c>
      <c r="N193" s="30">
        <f>Tablo142[[#This Row],[Ödünç İşçilik]]+Tablo142[[#This Row],[Üretilen Değer (Sap Verisi)]]</f>
        <v>0</v>
      </c>
      <c r="O193" s="61">
        <f>SUMIFS(Tablo2[Aralık],Tablo2[BÖLÜM],Tablo142[[#This Row],[Bölüm]])/60</f>
        <v>0</v>
      </c>
      <c r="P193" s="31">
        <f>AC193+O193+Tablo142[[#This Row],[Ödünç İşçilik]]</f>
        <v>0</v>
      </c>
      <c r="Q193" s="31">
        <f t="shared" si="43"/>
        <v>0</v>
      </c>
      <c r="R193" s="437"/>
      <c r="S193" s="435"/>
      <c r="T193" s="435"/>
      <c r="U193" s="435"/>
      <c r="V193" s="435"/>
      <c r="W193" s="435"/>
      <c r="X193" s="404"/>
      <c r="Y193" s="435"/>
      <c r="Z193" s="435"/>
      <c r="AA193" s="435"/>
      <c r="AB193" s="435"/>
      <c r="AC193" s="436"/>
    </row>
    <row r="194" spans="2:29" ht="19.95" customHeight="1" x14ac:dyDescent="0.3">
      <c r="B194" s="315" t="s">
        <v>119</v>
      </c>
      <c r="C194" s="25" t="s">
        <v>1011</v>
      </c>
      <c r="D194" s="26" t="s">
        <v>108</v>
      </c>
      <c r="E194" s="27" t="s">
        <v>26</v>
      </c>
      <c r="F194" s="405" t="e">
        <f>Tablo142[[#This Row],[Verimlilik
%]]+Tablo142[[#This Row],[Net İşçilik Kapasite Kaybı %]]</f>
        <v>#DIV/0!</v>
      </c>
      <c r="G194" s="89" t="e">
        <f t="shared" si="45"/>
        <v>#DIV/0!</v>
      </c>
      <c r="H194" s="43" t="e">
        <f>Tablo142[[#This Row],[Duruş]]/Tablo142[[#This Row],[Net Kapasite Direkt]]*100</f>
        <v>#DIV/0!</v>
      </c>
      <c r="I194" s="43" t="e">
        <f>(Tablo142[[#This Row],[Net Kapasite Direkt]]-Tablo142[[#This Row],[Toplam Girilen İşçilik]])/Tablo142[[#This Row],[Net Kapasite Direkt]]*100</f>
        <v>#DIV/0!</v>
      </c>
      <c r="J194" s="28" t="e">
        <f t="shared" si="39"/>
        <v>#DIV/0!</v>
      </c>
      <c r="K194" s="29">
        <f t="shared" si="40"/>
        <v>0</v>
      </c>
      <c r="L194" s="29">
        <f t="shared" si="41"/>
        <v>0</v>
      </c>
      <c r="M194" s="30" t="e">
        <f t="shared" si="42"/>
        <v>#DIV/0!</v>
      </c>
      <c r="N194" s="30">
        <f>Tablo142[[#This Row],[Ödünç İşçilik]]+Tablo142[[#This Row],[Üretilen Değer (Sap Verisi)]]</f>
        <v>0</v>
      </c>
      <c r="O194" s="61">
        <f>SUMIFS(Tablo2[Aralık],Tablo2[BÖLÜM],Tablo142[[#This Row],[Bölüm]])/60</f>
        <v>0</v>
      </c>
      <c r="P194" s="31">
        <f>AC194+O194+Tablo142[[#This Row],[Ödünç İşçilik]]</f>
        <v>0</v>
      </c>
      <c r="Q194" s="31">
        <f t="shared" si="43"/>
        <v>0</v>
      </c>
      <c r="R194" s="437"/>
      <c r="S194" s="435"/>
      <c r="T194" s="435"/>
      <c r="U194" s="435"/>
      <c r="V194" s="435"/>
      <c r="W194" s="435"/>
      <c r="X194" s="404"/>
      <c r="Y194" s="435"/>
      <c r="Z194" s="435"/>
      <c r="AA194" s="435"/>
      <c r="AB194" s="435"/>
      <c r="AC194" s="436"/>
    </row>
    <row r="195" spans="2:29" ht="19.95" customHeight="1" x14ac:dyDescent="0.3">
      <c r="B195" s="315" t="s">
        <v>119</v>
      </c>
      <c r="C195" s="25" t="s">
        <v>4</v>
      </c>
      <c r="D195" s="26" t="s">
        <v>108</v>
      </c>
      <c r="E195" s="27" t="s">
        <v>17</v>
      </c>
      <c r="F195" s="405" t="e">
        <f>Tablo142[[#This Row],[Verimlilik
%]]+Tablo142[[#This Row],[Net İşçilik Kapasite Kaybı %]]</f>
        <v>#DIV/0!</v>
      </c>
      <c r="G195" s="89" t="e">
        <f t="shared" si="45"/>
        <v>#DIV/0!</v>
      </c>
      <c r="H195" s="43" t="e">
        <f>Tablo142[[#This Row],[Duruş]]/Tablo142[[#This Row],[Net Kapasite Direkt]]*100</f>
        <v>#DIV/0!</v>
      </c>
      <c r="I195" s="43" t="e">
        <f>(Tablo142[[#This Row],[Net Kapasite Direkt]]-Tablo142[[#This Row],[Toplam Girilen İşçilik]])/Tablo142[[#This Row],[Net Kapasite Direkt]]*100</f>
        <v>#DIV/0!</v>
      </c>
      <c r="J195" s="28" t="e">
        <f t="shared" si="39"/>
        <v>#DIV/0!</v>
      </c>
      <c r="K195" s="29">
        <f t="shared" si="40"/>
        <v>0</v>
      </c>
      <c r="L195" s="29">
        <f t="shared" si="41"/>
        <v>0</v>
      </c>
      <c r="M195" s="30" t="e">
        <f t="shared" si="42"/>
        <v>#DIV/0!</v>
      </c>
      <c r="N195" s="30">
        <f>Tablo142[[#This Row],[Ödünç İşçilik]]+Tablo142[[#This Row],[Üretilen Değer (Sap Verisi)]]</f>
        <v>0</v>
      </c>
      <c r="O195" s="61">
        <f>SUMIFS(Tablo2[Aralık],Tablo2[BÖLÜM],Tablo142[[#This Row],[Bölüm]])/60</f>
        <v>0</v>
      </c>
      <c r="P195" s="31">
        <f>AC195+O195+Tablo142[[#This Row],[Ödünç İşçilik]]</f>
        <v>0</v>
      </c>
      <c r="Q195" s="31">
        <f t="shared" si="43"/>
        <v>0</v>
      </c>
      <c r="R195" s="437"/>
      <c r="S195" s="435"/>
      <c r="T195" s="435"/>
      <c r="U195" s="435"/>
      <c r="V195" s="435"/>
      <c r="W195" s="435"/>
      <c r="X195" s="404"/>
      <c r="Y195" s="435"/>
      <c r="Z195" s="435"/>
      <c r="AA195" s="435"/>
      <c r="AB195" s="435"/>
      <c r="AC195" s="436"/>
    </row>
    <row r="196" spans="2:29" ht="19.95" customHeight="1" x14ac:dyDescent="0.3">
      <c r="B196" s="315" t="s">
        <v>119</v>
      </c>
      <c r="C196" s="25" t="s">
        <v>4</v>
      </c>
      <c r="D196" s="26" t="s">
        <v>108</v>
      </c>
      <c r="E196" s="27" t="s">
        <v>29</v>
      </c>
      <c r="F196" s="405" t="e">
        <f>Tablo142[[#This Row],[Verimlilik
%]]+Tablo142[[#This Row],[Net İşçilik Kapasite Kaybı %]]</f>
        <v>#DIV/0!</v>
      </c>
      <c r="G196" s="89" t="e">
        <f t="shared" si="45"/>
        <v>#DIV/0!</v>
      </c>
      <c r="H196" s="43" t="e">
        <f>Tablo142[[#This Row],[Duruş]]/Tablo142[[#This Row],[Net Kapasite Direkt]]*100</f>
        <v>#DIV/0!</v>
      </c>
      <c r="I196" s="43" t="e">
        <f>(Tablo142[[#This Row],[Net Kapasite Direkt]]-Tablo142[[#This Row],[Toplam Girilen İşçilik]])/Tablo142[[#This Row],[Net Kapasite Direkt]]*100</f>
        <v>#DIV/0!</v>
      </c>
      <c r="J196" s="28" t="e">
        <f t="shared" si="39"/>
        <v>#DIV/0!</v>
      </c>
      <c r="K196" s="29">
        <f t="shared" si="40"/>
        <v>0</v>
      </c>
      <c r="L196" s="29">
        <f t="shared" si="41"/>
        <v>0</v>
      </c>
      <c r="M196" s="30" t="e">
        <f t="shared" si="42"/>
        <v>#DIV/0!</v>
      </c>
      <c r="N196" s="30">
        <f>Tablo142[[#This Row],[Ödünç İşçilik]]+Tablo142[[#This Row],[Üretilen Değer (Sap Verisi)]]</f>
        <v>0</v>
      </c>
      <c r="O196" s="61">
        <f>SUMIFS(Tablo2[Aralık],Tablo2[BÖLÜM],Tablo142[[#This Row],[Bölüm]])/60</f>
        <v>0</v>
      </c>
      <c r="P196" s="31">
        <f>AC196+O196+Tablo142[[#This Row],[Ödünç İşçilik]]</f>
        <v>0</v>
      </c>
      <c r="Q196" s="31">
        <f t="shared" si="43"/>
        <v>0</v>
      </c>
      <c r="R196" s="437"/>
      <c r="S196" s="435"/>
      <c r="T196" s="435"/>
      <c r="U196" s="435"/>
      <c r="V196" s="435"/>
      <c r="W196" s="435"/>
      <c r="X196" s="404"/>
      <c r="Y196" s="435"/>
      <c r="Z196" s="435"/>
      <c r="AA196" s="435"/>
      <c r="AB196" s="435"/>
      <c r="AC196" s="436"/>
    </row>
    <row r="197" spans="2:29" ht="19.95" customHeight="1" x14ac:dyDescent="0.3">
      <c r="B197" s="315" t="s">
        <v>119</v>
      </c>
      <c r="C197" s="25" t="s">
        <v>4</v>
      </c>
      <c r="D197" s="26" t="s">
        <v>108</v>
      </c>
      <c r="E197" s="27" t="s">
        <v>43</v>
      </c>
      <c r="F197" s="405" t="e">
        <f>Tablo142[[#This Row],[Verimlilik
%]]+Tablo142[[#This Row],[Net İşçilik Kapasite Kaybı %]]</f>
        <v>#DIV/0!</v>
      </c>
      <c r="G197" s="89" t="e">
        <f t="shared" si="44"/>
        <v>#DIV/0!</v>
      </c>
      <c r="H197" s="43" t="e">
        <f>Tablo142[[#This Row],[Duruş]]/Tablo142[[#This Row],[Net Kapasite Direkt]]*100</f>
        <v>#DIV/0!</v>
      </c>
      <c r="I197" s="43" t="e">
        <f>(Tablo142[[#This Row],[Net Kapasite Direkt]]-Tablo142[[#This Row],[Toplam Girilen İşçilik]])/Tablo142[[#This Row],[Net Kapasite Direkt]]*100</f>
        <v>#DIV/0!</v>
      </c>
      <c r="J197" s="28" t="e">
        <f t="shared" si="39"/>
        <v>#DIV/0!</v>
      </c>
      <c r="K197" s="29">
        <f t="shared" si="40"/>
        <v>0</v>
      </c>
      <c r="L197" s="29">
        <f t="shared" si="41"/>
        <v>0</v>
      </c>
      <c r="M197" s="30" t="e">
        <f t="shared" si="42"/>
        <v>#DIV/0!</v>
      </c>
      <c r="N197" s="30">
        <f>Tablo142[[#This Row],[Ödünç İşçilik]]+Tablo142[[#This Row],[Üretilen Değer (Sap Verisi)]]</f>
        <v>0</v>
      </c>
      <c r="O197" s="61">
        <f>SUMIFS(Tablo2[Aralık],Tablo2[BÖLÜM],Tablo142[[#This Row],[Bölüm]])/60</f>
        <v>0</v>
      </c>
      <c r="P197" s="31">
        <f>AC197+O197+Tablo142[[#This Row],[Ödünç İşçilik]]</f>
        <v>0</v>
      </c>
      <c r="Q197" s="31">
        <f t="shared" si="43"/>
        <v>0</v>
      </c>
      <c r="R197" s="437"/>
      <c r="S197" s="435"/>
      <c r="T197" s="435"/>
      <c r="U197" s="435"/>
      <c r="V197" s="435"/>
      <c r="W197" s="435"/>
      <c r="X197" s="404"/>
      <c r="Y197" s="435"/>
      <c r="Z197" s="435"/>
      <c r="AA197" s="435"/>
      <c r="AB197" s="435"/>
      <c r="AC197" s="436"/>
    </row>
    <row r="198" spans="2:29" ht="19.95" customHeight="1" x14ac:dyDescent="0.3">
      <c r="B198" s="315" t="s">
        <v>119</v>
      </c>
      <c r="C198" s="25" t="s">
        <v>1011</v>
      </c>
      <c r="D198" s="26" t="s">
        <v>108</v>
      </c>
      <c r="E198" s="27" t="s">
        <v>19</v>
      </c>
      <c r="F198" s="405" t="e">
        <f>Tablo142[[#This Row],[Verimlilik
%]]+Tablo142[[#This Row],[Net İşçilik Kapasite Kaybı %]]</f>
        <v>#DIV/0!</v>
      </c>
      <c r="G198" s="89" t="e">
        <f t="shared" si="44"/>
        <v>#DIV/0!</v>
      </c>
      <c r="H198" s="43" t="e">
        <f>Tablo142[[#This Row],[Duruş]]/Tablo142[[#This Row],[Net Kapasite Direkt]]*100</f>
        <v>#DIV/0!</v>
      </c>
      <c r="I198" s="43" t="e">
        <f>(Tablo142[[#This Row],[Net Kapasite Direkt]]-Tablo142[[#This Row],[Toplam Girilen İşçilik]])/Tablo142[[#This Row],[Net Kapasite Direkt]]*100</f>
        <v>#DIV/0!</v>
      </c>
      <c r="J198" s="28" t="e">
        <f t="shared" si="39"/>
        <v>#DIV/0!</v>
      </c>
      <c r="K198" s="29">
        <f t="shared" si="40"/>
        <v>0</v>
      </c>
      <c r="L198" s="29">
        <f t="shared" si="41"/>
        <v>0</v>
      </c>
      <c r="M198" s="30" t="e">
        <f t="shared" si="42"/>
        <v>#DIV/0!</v>
      </c>
      <c r="N198" s="30">
        <f>Tablo142[[#This Row],[Ödünç İşçilik]]+Tablo142[[#This Row],[Üretilen Değer (Sap Verisi)]]</f>
        <v>0</v>
      </c>
      <c r="O198" s="61">
        <f>SUMIFS(Tablo2[Aralık],Tablo2[BÖLÜM],Tablo142[[#This Row],[Bölüm]])/60</f>
        <v>0</v>
      </c>
      <c r="P198" s="31">
        <f>AC198+O198+Tablo142[[#This Row],[Ödünç İşçilik]]</f>
        <v>0</v>
      </c>
      <c r="Q198" s="31">
        <f t="shared" si="43"/>
        <v>0</v>
      </c>
      <c r="R198" s="437"/>
      <c r="S198" s="435"/>
      <c r="T198" s="435"/>
      <c r="U198" s="435"/>
      <c r="V198" s="435"/>
      <c r="W198" s="435"/>
      <c r="X198" s="404"/>
      <c r="Y198" s="435"/>
      <c r="Z198" s="435"/>
      <c r="AA198" s="435"/>
      <c r="AB198" s="435"/>
      <c r="AC198" s="436"/>
    </row>
    <row r="199" spans="2:29" ht="19.95" customHeight="1" x14ac:dyDescent="0.3">
      <c r="B199" s="315" t="s">
        <v>119</v>
      </c>
      <c r="C199" s="25" t="s">
        <v>4</v>
      </c>
      <c r="D199" s="26" t="s">
        <v>25</v>
      </c>
      <c r="E199" s="27" t="s">
        <v>40</v>
      </c>
      <c r="F199" s="405" t="e">
        <f>Tablo142[[#This Row],[Verimlilik
%]]+Tablo142[[#This Row],[Net İşçilik Kapasite Kaybı %]]</f>
        <v>#DIV/0!</v>
      </c>
      <c r="G199" s="89" t="e">
        <f t="shared" si="44"/>
        <v>#DIV/0!</v>
      </c>
      <c r="H199" s="43" t="e">
        <f>Tablo142[[#This Row],[Duruş]]/Tablo142[[#This Row],[Net Kapasite Direkt]]*100</f>
        <v>#DIV/0!</v>
      </c>
      <c r="I199" s="43" t="e">
        <f>(Tablo142[[#This Row],[Net Kapasite Direkt]]-Tablo142[[#This Row],[Toplam Girilen İşçilik]])/Tablo142[[#This Row],[Net Kapasite Direkt]]*100</f>
        <v>#DIV/0!</v>
      </c>
      <c r="J199" s="28" t="e">
        <f t="shared" si="39"/>
        <v>#DIV/0!</v>
      </c>
      <c r="K199" s="29">
        <f t="shared" si="40"/>
        <v>0</v>
      </c>
      <c r="L199" s="29">
        <f t="shared" si="41"/>
        <v>0</v>
      </c>
      <c r="M199" s="30" t="e">
        <f t="shared" si="42"/>
        <v>#DIV/0!</v>
      </c>
      <c r="N199" s="30">
        <f>Tablo142[[#This Row],[Ödünç İşçilik]]+Tablo142[[#This Row],[Üretilen Değer (Sap Verisi)]]</f>
        <v>0</v>
      </c>
      <c r="O199" s="61">
        <f>SUMIFS(Tablo2[Aralık],Tablo2[BÖLÜM],Tablo142[[#This Row],[Bölüm]])/60</f>
        <v>0</v>
      </c>
      <c r="P199" s="31">
        <f>AC199+O199+Tablo142[[#This Row],[Ödünç İşçilik]]</f>
        <v>0</v>
      </c>
      <c r="Q199" s="31">
        <f t="shared" si="43"/>
        <v>0</v>
      </c>
      <c r="R199" s="437"/>
      <c r="S199" s="435"/>
      <c r="T199" s="435"/>
      <c r="U199" s="435"/>
      <c r="V199" s="435"/>
      <c r="W199" s="435"/>
      <c r="X199" s="404"/>
      <c r="Y199" s="435"/>
      <c r="Z199" s="435"/>
      <c r="AA199" s="435"/>
      <c r="AB199" s="435"/>
      <c r="AC199" s="436"/>
    </row>
    <row r="200" spans="2:29" ht="19.95" customHeight="1" x14ac:dyDescent="0.3">
      <c r="B200" s="315" t="s">
        <v>119</v>
      </c>
      <c r="C200" s="25" t="s">
        <v>4</v>
      </c>
      <c r="D200" s="26" t="s">
        <v>25</v>
      </c>
      <c r="E200" s="27" t="s">
        <v>35</v>
      </c>
      <c r="F200" s="316" t="e">
        <f>Tablo142[[#This Row],[Verimlilik
%]]+Tablo142[[#This Row],[Net İşçilik Kapasite Kaybı %]]</f>
        <v>#DIV/0!</v>
      </c>
      <c r="G200" s="89" t="e">
        <f t="shared" ref="G200:G203" si="46">(AC200+X200)/K200*100</f>
        <v>#DIV/0!</v>
      </c>
      <c r="H200" s="43" t="e">
        <f>Tablo142[[#This Row],[Duruş]]/Tablo142[[#This Row],[Net Kapasite Direkt]]*100</f>
        <v>#DIV/0!</v>
      </c>
      <c r="I200" s="88" t="e">
        <f>(Tablo142[[#This Row],[Net Kapasite Direkt]]-Tablo142[[#This Row],[Toplam Girilen İşçilik]])/Tablo142[[#This Row],[Net Kapasite Direkt]]*100</f>
        <v>#DIV/0!</v>
      </c>
      <c r="J200" s="28" t="e">
        <f t="shared" si="39"/>
        <v>#DIV/0!</v>
      </c>
      <c r="K200" s="29">
        <f t="shared" si="40"/>
        <v>0</v>
      </c>
      <c r="L200" s="29">
        <f t="shared" si="41"/>
        <v>0</v>
      </c>
      <c r="M200" s="30" t="e">
        <f t="shared" si="42"/>
        <v>#DIV/0!</v>
      </c>
      <c r="N200" s="30">
        <f>Tablo142[[#This Row],[Ödünç İşçilik]]+Tablo142[[#This Row],[Üretilen Değer (Sap Verisi)]]</f>
        <v>0</v>
      </c>
      <c r="O200" s="61">
        <f>SUMIFS(Tablo2[Aralık],Tablo2[BÖLÜM],Tablo142[[#This Row],[Bölüm]])/60</f>
        <v>0</v>
      </c>
      <c r="P200" s="31">
        <f>AC200+O200+Tablo142[[#This Row],[Ödünç İşçilik]]</f>
        <v>0</v>
      </c>
      <c r="Q200" s="31">
        <f t="shared" si="43"/>
        <v>0</v>
      </c>
      <c r="R200" s="155"/>
      <c r="S200" s="156"/>
      <c r="T200" s="148"/>
      <c r="U200" s="156"/>
      <c r="V200" s="156"/>
      <c r="W200" s="156"/>
      <c r="X200" s="452"/>
      <c r="Y200" s="156"/>
      <c r="Z200" s="156"/>
      <c r="AA200" s="156"/>
      <c r="AB200" s="156"/>
      <c r="AC200" s="157"/>
    </row>
    <row r="201" spans="2:29" ht="19.95" customHeight="1" x14ac:dyDescent="0.3">
      <c r="B201" s="315" t="s">
        <v>119</v>
      </c>
      <c r="C201" s="25" t="s">
        <v>4</v>
      </c>
      <c r="D201" s="26" t="s">
        <v>25</v>
      </c>
      <c r="E201" s="27" t="s">
        <v>25</v>
      </c>
      <c r="F201" s="316" t="e">
        <f>Tablo142[[#This Row],[Verimlilik
%]]+Tablo142[[#This Row],[Net İşçilik Kapasite Kaybı %]]</f>
        <v>#DIV/0!</v>
      </c>
      <c r="G201" s="89" t="e">
        <f t="shared" si="46"/>
        <v>#DIV/0!</v>
      </c>
      <c r="H201" s="43" t="e">
        <f>Tablo142[[#This Row],[Duruş]]/Tablo142[[#This Row],[Net Kapasite Direkt]]*100</f>
        <v>#DIV/0!</v>
      </c>
      <c r="I201" s="88" t="e">
        <f>(Tablo142[[#This Row],[Net Kapasite Direkt]]-Tablo142[[#This Row],[Toplam Girilen İşçilik]])/Tablo142[[#This Row],[Net Kapasite Direkt]]*100</f>
        <v>#DIV/0!</v>
      </c>
      <c r="J201" s="28" t="e">
        <f t="shared" si="34"/>
        <v>#DIV/0!</v>
      </c>
      <c r="K201" s="29">
        <f t="shared" si="35"/>
        <v>0</v>
      </c>
      <c r="L201" s="29">
        <f t="shared" si="35"/>
        <v>0</v>
      </c>
      <c r="M201" s="30" t="e">
        <f t="shared" si="36"/>
        <v>#DIV/0!</v>
      </c>
      <c r="N201" s="30">
        <f>Tablo142[[#This Row],[Ödünç İşçilik]]+Tablo142[[#This Row],[Üretilen Değer (Sap Verisi)]]</f>
        <v>0</v>
      </c>
      <c r="O201" s="61">
        <f>SUMIFS(Tablo2[Aralık],Tablo2[BÖLÜM],Tablo142[[#This Row],[Bölüm]])/60</f>
        <v>0</v>
      </c>
      <c r="P201" s="31">
        <f>AC201+O201+Tablo142[[#This Row],[Ödünç İşçilik]]</f>
        <v>0</v>
      </c>
      <c r="Q201" s="31">
        <f t="shared" si="37"/>
        <v>0</v>
      </c>
      <c r="R201" s="155"/>
      <c r="S201" s="156"/>
      <c r="T201" s="156"/>
      <c r="U201" s="156"/>
      <c r="V201" s="156"/>
      <c r="W201" s="156"/>
      <c r="X201" s="452"/>
      <c r="Y201" s="156"/>
      <c r="Z201" s="156"/>
      <c r="AA201" s="156"/>
      <c r="AB201" s="156"/>
      <c r="AC201" s="157"/>
    </row>
    <row r="202" spans="2:29" ht="19.95" customHeight="1" x14ac:dyDescent="0.3">
      <c r="B202" s="315" t="s">
        <v>119</v>
      </c>
      <c r="C202" s="25" t="s">
        <v>4</v>
      </c>
      <c r="D202" s="26" t="s">
        <v>25</v>
      </c>
      <c r="E202" s="27" t="s">
        <v>23</v>
      </c>
      <c r="F202" s="316" t="e">
        <f>Tablo142[[#This Row],[Verimlilik
%]]+Tablo142[[#This Row],[Net İşçilik Kapasite Kaybı %]]</f>
        <v>#DIV/0!</v>
      </c>
      <c r="G202" s="43" t="e">
        <f t="shared" si="46"/>
        <v>#DIV/0!</v>
      </c>
      <c r="H202" s="43" t="e">
        <f>Tablo142[[#This Row],[Duruş]]/Tablo142[[#This Row],[Net Kapasite Direkt]]*100</f>
        <v>#DIV/0!</v>
      </c>
      <c r="I202" s="43" t="e">
        <f>(Tablo142[[#This Row],[Net Kapasite Direkt]]-Tablo142[[#This Row],[Toplam Girilen İşçilik]])/Tablo142[[#This Row],[Net Kapasite Direkt]]*100</f>
        <v>#DIV/0!</v>
      </c>
      <c r="J202" s="28" t="e">
        <f t="shared" si="34"/>
        <v>#DIV/0!</v>
      </c>
      <c r="K202" s="29">
        <f t="shared" si="35"/>
        <v>0</v>
      </c>
      <c r="L202" s="29">
        <f t="shared" si="35"/>
        <v>0</v>
      </c>
      <c r="M202" s="30" t="e">
        <f t="shared" si="36"/>
        <v>#DIV/0!</v>
      </c>
      <c r="N202" s="30">
        <f>Tablo142[[#This Row],[Ödünç İşçilik]]+Tablo142[[#This Row],[Üretilen Değer (Sap Verisi)]]</f>
        <v>0</v>
      </c>
      <c r="O202" s="61">
        <f>SUMIFS(Tablo2[Aralık],Tablo2[BÖLÜM],Tablo142[[#This Row],[Bölüm]])/60</f>
        <v>0</v>
      </c>
      <c r="P202" s="31">
        <f>AC202+O202+Tablo142[[#This Row],[Ödünç İşçilik]]</f>
        <v>0</v>
      </c>
      <c r="Q202" s="31">
        <f t="shared" si="37"/>
        <v>0</v>
      </c>
      <c r="R202" s="147"/>
      <c r="S202" s="148"/>
      <c r="T202" s="148"/>
      <c r="U202" s="148"/>
      <c r="V202" s="148"/>
      <c r="W202" s="148"/>
      <c r="X202" s="363"/>
      <c r="Y202" s="148"/>
      <c r="Z202" s="148"/>
      <c r="AA202" s="148"/>
      <c r="AB202" s="148"/>
      <c r="AC202" s="153"/>
    </row>
    <row r="203" spans="2:29" ht="19.95" customHeight="1" thickBot="1" x14ac:dyDescent="0.35">
      <c r="B203" s="317" t="s">
        <v>119</v>
      </c>
      <c r="C203" s="232" t="s">
        <v>4</v>
      </c>
      <c r="D203" s="233" t="s">
        <v>25</v>
      </c>
      <c r="E203" s="234" t="s">
        <v>20</v>
      </c>
      <c r="F203" s="453" t="s">
        <v>584</v>
      </c>
      <c r="G203" s="236" t="e">
        <f t="shared" si="46"/>
        <v>#DIV/0!</v>
      </c>
      <c r="H203" s="236" t="e">
        <f>Tablo142[[#This Row],[Duruş]]/Tablo142[[#This Row],[Net Kapasite Direkt]]*100</f>
        <v>#DIV/0!</v>
      </c>
      <c r="I203" s="236" t="e">
        <f>(Tablo142[[#This Row],[Net Kapasite Direkt]]-Tablo142[[#This Row],[Toplam Girilen İşçilik]])/Tablo142[[#This Row],[Net Kapasite Direkt]]*100</f>
        <v>#DIV/0!</v>
      </c>
      <c r="J203" s="237" t="e">
        <f t="shared" si="34"/>
        <v>#DIV/0!</v>
      </c>
      <c r="K203" s="238">
        <f t="shared" si="35"/>
        <v>0</v>
      </c>
      <c r="L203" s="238">
        <f t="shared" si="35"/>
        <v>0</v>
      </c>
      <c r="M203" s="239" t="e">
        <f t="shared" si="36"/>
        <v>#DIV/0!</v>
      </c>
      <c r="N203" s="239">
        <f>Tablo142[[#This Row],[Ödünç İşçilik]]+Tablo142[[#This Row],[Üretilen Değer (Sap Verisi)]]</f>
        <v>0</v>
      </c>
      <c r="O203" s="61">
        <f>SUMIFS(Tablo2[Aralık],Tablo2[BÖLÜM],Tablo142[[#This Row],[Bölüm]])/60</f>
        <v>0</v>
      </c>
      <c r="P203" s="241">
        <f>AC203+O203+Tablo142[[#This Row],[Ödünç İşçilik]]</f>
        <v>0</v>
      </c>
      <c r="Q203" s="241">
        <f t="shared" si="37"/>
        <v>0</v>
      </c>
      <c r="R203" s="149"/>
      <c r="S203" s="150"/>
      <c r="T203" s="150"/>
      <c r="U203" s="150"/>
      <c r="V203" s="150"/>
      <c r="W203" s="150"/>
      <c r="X203" s="459"/>
      <c r="Y203" s="150"/>
      <c r="Z203" s="150"/>
      <c r="AA203" s="150"/>
      <c r="AB203" s="150"/>
      <c r="AC203" s="320"/>
    </row>
    <row r="204" spans="2:29" ht="19.95" customHeight="1" x14ac:dyDescent="0.3">
      <c r="B204" s="391" t="s">
        <v>120</v>
      </c>
      <c r="C204" s="391" t="str">
        <f>C30</f>
        <v>Fabrika I</v>
      </c>
      <c r="D204" s="391" t="s">
        <v>121</v>
      </c>
      <c r="E204" s="391" t="s">
        <v>121</v>
      </c>
      <c r="F204" s="392" t="e">
        <f>Tablo142[[#Totals],[Verimlilik
%]]+Tablo142[[#Totals],[Net İşçilik Kapasite Kaybı %]]</f>
        <v>#REF!</v>
      </c>
      <c r="G204" s="392" t="e">
        <f>AC204/K204*100</f>
        <v>#REF!</v>
      </c>
      <c r="H204" s="392" t="e">
        <f>Tablo142[[#Totals],[Duruş]]/Tablo142[[#Totals],[Net Kapasite Direkt]]*100</f>
        <v>#REF!</v>
      </c>
      <c r="I204" s="392" t="e">
        <f>(Tablo142[[#Totals],[Net Kapasite Direkt]]-Tablo142[[#Totals],[Toplam Girilen İşçilik]])/Tablo142[[#Totals],[Net Kapasite Direkt]]*100</f>
        <v>#REF!</v>
      </c>
      <c r="J204" s="393" t="e">
        <f>(#REF!+#REF!)/(T204+U204)*100</f>
        <v>#REF!</v>
      </c>
      <c r="K204" s="393" t="e">
        <f>T204-#REF!</f>
        <v>#REF!</v>
      </c>
      <c r="L204" s="393" t="e">
        <f>U204-#REF!</f>
        <v>#REF!</v>
      </c>
      <c r="M204" s="393">
        <f>(AA204+AB204)/(Y204+Z204)*100</f>
        <v>28.349808336843356</v>
      </c>
      <c r="N204" s="393"/>
      <c r="O204" s="393">
        <f>SUM(O5:O203)</f>
        <v>20986.050000000003</v>
      </c>
      <c r="P204" s="393">
        <f>AC204+O204</f>
        <v>361543.6911</v>
      </c>
      <c r="Q204" s="393" t="e">
        <f>K204-P204</f>
        <v>#REF!</v>
      </c>
      <c r="R204" s="393">
        <f t="shared" ref="R204:AC204" si="47">SUM(R5:R203)</f>
        <v>2440</v>
      </c>
      <c r="S204" s="393">
        <f t="shared" si="47"/>
        <v>395</v>
      </c>
      <c r="T204" s="393">
        <f t="shared" si="47"/>
        <v>554919</v>
      </c>
      <c r="U204" s="393">
        <f t="shared" si="47"/>
        <v>91362</v>
      </c>
      <c r="V204" s="393">
        <f t="shared" si="47"/>
        <v>35709</v>
      </c>
      <c r="W204" s="393">
        <f t="shared" si="47"/>
        <v>5699</v>
      </c>
      <c r="X204" s="394">
        <f t="shared" si="47"/>
        <v>9328.7666666666682</v>
      </c>
      <c r="Y204" s="393">
        <f t="shared" si="47"/>
        <v>405973.5</v>
      </c>
      <c r="Z204" s="393">
        <f t="shared" si="47"/>
        <v>65296</v>
      </c>
      <c r="AA204" s="393">
        <f t="shared" si="47"/>
        <v>113237</v>
      </c>
      <c r="AB204" s="393">
        <f t="shared" si="47"/>
        <v>20367</v>
      </c>
      <c r="AC204" s="394">
        <f t="shared" si="47"/>
        <v>340557.64110000001</v>
      </c>
    </row>
  </sheetData>
  <mergeCells count="9">
    <mergeCell ref="T3:U3"/>
    <mergeCell ref="V3:W3"/>
    <mergeCell ref="Y3:Z3"/>
    <mergeCell ref="AA3:AB3"/>
    <mergeCell ref="C1:E3"/>
    <mergeCell ref="K2:L2"/>
    <mergeCell ref="K3:L3"/>
    <mergeCell ref="G1:Q1"/>
    <mergeCell ref="R3:S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 differentFirst="1">
    <oddFooter>&amp;LG05002   R02&amp;R&amp;P / &amp;N&amp;C&amp;"verdana,Regular"&amp;8Kurum İçi | Internal \  Kişisel Veri İçermez | Contains No Personal Data</oddFooter>
    <firstFooter>&amp;LG05002   R02&amp;CHizmete Özel&amp;R&amp;P / &amp;N</first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Listeler!$A$2:$A$6</xm:f>
          </x14:formula1>
          <xm:sqref>C5:C203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5">
    <tabColor rgb="FFFFC000"/>
  </sheetPr>
  <dimension ref="B3:K73"/>
  <sheetViews>
    <sheetView showGridLines="0" tabSelected="1" workbookViewId="0">
      <selection activeCell="E10" sqref="E10"/>
    </sheetView>
  </sheetViews>
  <sheetFormatPr defaultRowHeight="14.4" x14ac:dyDescent="0.3"/>
  <cols>
    <col min="1" max="1" width="2" customWidth="1"/>
    <col min="2" max="2" width="2.88671875" customWidth="1"/>
    <col min="3" max="3" width="14.77734375" bestFit="1" customWidth="1"/>
    <col min="4" max="4" width="24.109375" bestFit="1" customWidth="1"/>
    <col min="5" max="5" width="30.21875" bestFit="1" customWidth="1"/>
    <col min="6" max="6" width="12.6640625" bestFit="1" customWidth="1"/>
    <col min="7" max="7" width="25.21875" bestFit="1" customWidth="1"/>
    <col min="8" max="8" width="27.6640625" bestFit="1" customWidth="1"/>
    <col min="9" max="9" width="38.6640625" bestFit="1" customWidth="1"/>
    <col min="10" max="10" width="8.33203125" customWidth="1"/>
    <col min="11" max="11" width="39.5546875" customWidth="1"/>
    <col min="12" max="12" width="8.88671875" bestFit="1" customWidth="1"/>
    <col min="13" max="13" width="18.44140625" customWidth="1"/>
    <col min="14" max="14" width="12.5546875" customWidth="1"/>
    <col min="15" max="15" width="24.6640625" bestFit="1" customWidth="1"/>
    <col min="16" max="16" width="27" bestFit="1" customWidth="1"/>
    <col min="17" max="17" width="32.109375" bestFit="1" customWidth="1"/>
  </cols>
  <sheetData>
    <row r="3" spans="3:11" x14ac:dyDescent="0.3">
      <c r="C3" s="18" t="s">
        <v>82</v>
      </c>
      <c r="D3" s="151" t="s">
        <v>527</v>
      </c>
    </row>
    <row r="5" spans="3:11" x14ac:dyDescent="0.3">
      <c r="C5" s="18" t="s">
        <v>123</v>
      </c>
      <c r="D5" s="151" t="s">
        <v>124</v>
      </c>
      <c r="E5" s="151" t="s">
        <v>125</v>
      </c>
      <c r="F5" s="151" t="s">
        <v>126</v>
      </c>
      <c r="G5" s="151" t="s">
        <v>127</v>
      </c>
      <c r="H5" s="151" t="s">
        <v>480</v>
      </c>
      <c r="I5" s="151" t="s">
        <v>481</v>
      </c>
    </row>
    <row r="6" spans="3:11" x14ac:dyDescent="0.3">
      <c r="C6" s="20" t="s">
        <v>107</v>
      </c>
      <c r="D6" s="66">
        <v>14521</v>
      </c>
      <c r="E6" s="66">
        <v>6566.4273333333331</v>
      </c>
      <c r="F6" s="66">
        <v>0</v>
      </c>
      <c r="G6" s="66">
        <v>6566.4273333333331</v>
      </c>
      <c r="H6" s="66">
        <v>6566.4273333333331</v>
      </c>
      <c r="I6" s="66">
        <v>7954.5726666666669</v>
      </c>
    </row>
    <row r="7" spans="3:11" x14ac:dyDescent="0.3">
      <c r="C7" s="20" t="s">
        <v>109</v>
      </c>
      <c r="D7" s="66">
        <v>16597.5</v>
      </c>
      <c r="E7" s="66">
        <v>9914.1866666666683</v>
      </c>
      <c r="F7" s="66">
        <v>0</v>
      </c>
      <c r="G7" s="66">
        <v>9914.1866666666683</v>
      </c>
      <c r="H7" s="66">
        <v>9914.1866666666683</v>
      </c>
      <c r="I7" s="66">
        <v>6683.3133333333335</v>
      </c>
    </row>
    <row r="8" spans="3:11" x14ac:dyDescent="0.3">
      <c r="C8" s="20" t="s">
        <v>110</v>
      </c>
      <c r="D8" s="66">
        <v>18605.5</v>
      </c>
      <c r="E8" s="66">
        <v>12341.315666666667</v>
      </c>
      <c r="F8" s="66">
        <v>0</v>
      </c>
      <c r="G8" s="66">
        <v>12341.315666666667</v>
      </c>
      <c r="H8" s="66">
        <v>12341.315666666667</v>
      </c>
      <c r="I8" s="66">
        <v>6264.1843333333327</v>
      </c>
    </row>
    <row r="9" spans="3:11" x14ac:dyDescent="0.3">
      <c r="C9" s="20" t="s">
        <v>111</v>
      </c>
      <c r="D9" s="66">
        <v>17204</v>
      </c>
      <c r="E9" s="66">
        <v>10447.221333333335</v>
      </c>
      <c r="F9" s="66">
        <v>0</v>
      </c>
      <c r="G9" s="66">
        <v>10447.221333333335</v>
      </c>
      <c r="H9" s="66">
        <v>10447.221333333335</v>
      </c>
      <c r="I9" s="66">
        <v>6756.7786666666661</v>
      </c>
      <c r="K9" s="20"/>
    </row>
    <row r="10" spans="3:11" x14ac:dyDescent="0.3">
      <c r="C10" s="20" t="s">
        <v>112</v>
      </c>
      <c r="D10" s="66">
        <v>15618.5</v>
      </c>
      <c r="E10" s="66">
        <v>8687.3066666666673</v>
      </c>
      <c r="F10" s="66">
        <v>0</v>
      </c>
      <c r="G10" s="66">
        <v>8687.3066666666673</v>
      </c>
      <c r="H10" s="66">
        <v>8687.3066666666673</v>
      </c>
      <c r="I10" s="66">
        <v>6931.1933333333336</v>
      </c>
      <c r="K10" s="20"/>
    </row>
    <row r="11" spans="3:11" x14ac:dyDescent="0.3">
      <c r="C11" s="20" t="s">
        <v>113</v>
      </c>
      <c r="D11" s="66">
        <v>17672</v>
      </c>
      <c r="E11" s="66">
        <v>10885.814</v>
      </c>
      <c r="F11" s="66">
        <v>0</v>
      </c>
      <c r="G11" s="66">
        <v>10885.814</v>
      </c>
      <c r="H11" s="66">
        <v>10885.814</v>
      </c>
      <c r="I11" s="66">
        <v>6786.1859999999997</v>
      </c>
      <c r="K11" s="20"/>
    </row>
    <row r="12" spans="3:11" x14ac:dyDescent="0.3">
      <c r="C12" s="20" t="s">
        <v>114</v>
      </c>
      <c r="D12" s="66">
        <v>17776</v>
      </c>
      <c r="E12" s="66">
        <v>7515.7116666666661</v>
      </c>
      <c r="F12" s="66">
        <v>0</v>
      </c>
      <c r="G12" s="66">
        <v>7515.7116666666661</v>
      </c>
      <c r="H12" s="66">
        <v>7515.7116666666661</v>
      </c>
      <c r="I12" s="66">
        <v>10260.288333333334</v>
      </c>
      <c r="K12" s="20"/>
    </row>
    <row r="13" spans="3:11" x14ac:dyDescent="0.3">
      <c r="C13" s="20" t="s">
        <v>115</v>
      </c>
      <c r="D13" s="66">
        <v>22281</v>
      </c>
      <c r="E13" s="66">
        <v>10164.631666666666</v>
      </c>
      <c r="F13" s="66">
        <v>271.5</v>
      </c>
      <c r="G13" s="66">
        <v>10455.298333333332</v>
      </c>
      <c r="H13" s="66">
        <v>10183.798333333332</v>
      </c>
      <c r="I13" s="66">
        <v>11825.701666666668</v>
      </c>
      <c r="K13" s="20"/>
    </row>
    <row r="14" spans="3:11" x14ac:dyDescent="0.3">
      <c r="C14" s="20" t="s">
        <v>116</v>
      </c>
      <c r="D14" s="66">
        <v>22197</v>
      </c>
      <c r="E14" s="66">
        <v>13234.320333333333</v>
      </c>
      <c r="F14" s="66">
        <v>159.78333333333333</v>
      </c>
      <c r="G14" s="66">
        <v>13407.437</v>
      </c>
      <c r="H14" s="66">
        <v>13247.653666666667</v>
      </c>
      <c r="I14" s="66">
        <v>8789.5630000000001</v>
      </c>
      <c r="K14" s="20"/>
    </row>
    <row r="15" spans="3:11" x14ac:dyDescent="0.3">
      <c r="C15" s="20" t="s">
        <v>117</v>
      </c>
      <c r="D15" s="66">
        <v>0</v>
      </c>
      <c r="E15" s="66"/>
      <c r="F15" s="66">
        <v>0</v>
      </c>
      <c r="G15" s="66">
        <v>0</v>
      </c>
      <c r="H15" s="66">
        <v>0</v>
      </c>
      <c r="I15" s="66">
        <v>0</v>
      </c>
      <c r="K15" s="20"/>
    </row>
    <row r="16" spans="3:11" x14ac:dyDescent="0.3">
      <c r="C16" s="20" t="s">
        <v>118</v>
      </c>
      <c r="D16" s="66">
        <v>0</v>
      </c>
      <c r="E16" s="66"/>
      <c r="F16" s="66">
        <v>0</v>
      </c>
      <c r="G16" s="66">
        <v>0</v>
      </c>
      <c r="H16" s="66">
        <v>0</v>
      </c>
      <c r="I16" s="66">
        <v>0</v>
      </c>
      <c r="K16" s="20"/>
    </row>
    <row r="17" spans="3:11" x14ac:dyDescent="0.3">
      <c r="C17" s="20" t="s">
        <v>119</v>
      </c>
      <c r="D17" s="66">
        <v>0</v>
      </c>
      <c r="E17" s="66"/>
      <c r="F17" s="66">
        <v>0</v>
      </c>
      <c r="G17" s="66">
        <v>0</v>
      </c>
      <c r="H17" s="66">
        <v>0</v>
      </c>
      <c r="I17" s="66">
        <v>0</v>
      </c>
      <c r="K17" s="20"/>
    </row>
    <row r="18" spans="3:11" x14ac:dyDescent="0.3">
      <c r="C18" s="20" t="s">
        <v>128</v>
      </c>
      <c r="D18" s="66">
        <v>162472.5</v>
      </c>
      <c r="E18" s="66">
        <v>89756.935333333342</v>
      </c>
      <c r="F18" s="66">
        <v>431.2833333333333</v>
      </c>
      <c r="G18" s="66">
        <v>90220.718666666682</v>
      </c>
      <c r="H18" s="66">
        <v>89789.435333333342</v>
      </c>
      <c r="I18" s="66">
        <v>72251.781333333332</v>
      </c>
      <c r="K18" s="20"/>
    </row>
    <row r="19" spans="3:11" x14ac:dyDescent="0.3">
      <c r="K19" s="20"/>
    </row>
    <row r="20" spans="3:11" x14ac:dyDescent="0.3">
      <c r="K20" s="20"/>
    </row>
    <row r="21" spans="3:11" x14ac:dyDescent="0.3">
      <c r="K21" s="20"/>
    </row>
    <row r="22" spans="3:11" x14ac:dyDescent="0.3">
      <c r="K22" s="20"/>
    </row>
    <row r="23" spans="3:11" x14ac:dyDescent="0.3">
      <c r="K23" s="20"/>
    </row>
    <row r="24" spans="3:11" x14ac:dyDescent="0.3">
      <c r="K24" s="20"/>
    </row>
    <row r="25" spans="3:11" x14ac:dyDescent="0.3">
      <c r="K25" s="20"/>
    </row>
    <row r="26" spans="3:11" x14ac:dyDescent="0.3">
      <c r="D26" s="19"/>
      <c r="G26" s="19"/>
      <c r="H26" s="19"/>
      <c r="I26" s="19"/>
      <c r="K26" s="20"/>
    </row>
    <row r="27" spans="3:11" x14ac:dyDescent="0.3">
      <c r="D27" s="19"/>
      <c r="G27" s="19"/>
      <c r="H27" s="19"/>
      <c r="I27" s="19"/>
      <c r="K27" s="20"/>
    </row>
    <row r="28" spans="3:11" x14ac:dyDescent="0.3">
      <c r="K28" s="20"/>
    </row>
    <row r="29" spans="3:11" x14ac:dyDescent="0.3">
      <c r="K29" s="20"/>
    </row>
    <row r="30" spans="3:11" x14ac:dyDescent="0.3">
      <c r="K30" s="20"/>
    </row>
    <row r="31" spans="3:11" x14ac:dyDescent="0.3">
      <c r="K31" s="20"/>
    </row>
    <row r="32" spans="3:11" x14ac:dyDescent="0.3">
      <c r="K32" s="20"/>
    </row>
    <row r="33" spans="3:11" x14ac:dyDescent="0.3">
      <c r="K33" s="20"/>
    </row>
    <row r="34" spans="3:11" x14ac:dyDescent="0.3">
      <c r="K34" s="20"/>
    </row>
    <row r="35" spans="3:11" x14ac:dyDescent="0.3">
      <c r="K35" s="20"/>
    </row>
    <row r="36" spans="3:11" x14ac:dyDescent="0.3">
      <c r="K36" s="20"/>
    </row>
    <row r="37" spans="3:11" x14ac:dyDescent="0.3">
      <c r="K37" s="20"/>
    </row>
    <row r="38" spans="3:11" x14ac:dyDescent="0.3">
      <c r="K38" s="20"/>
    </row>
    <row r="39" spans="3:11" x14ac:dyDescent="0.3">
      <c r="K39" s="20"/>
    </row>
    <row r="40" spans="3:11" x14ac:dyDescent="0.3">
      <c r="K40" s="20"/>
    </row>
    <row r="41" spans="3:11" x14ac:dyDescent="0.3">
      <c r="K41" s="20"/>
    </row>
    <row r="42" spans="3:11" x14ac:dyDescent="0.3">
      <c r="C42" s="19"/>
      <c r="D42" s="19"/>
      <c r="G42" s="19"/>
      <c r="H42" s="19"/>
      <c r="I42" s="19"/>
      <c r="K42" s="20"/>
    </row>
    <row r="43" spans="3:11" x14ac:dyDescent="0.3">
      <c r="C43" s="19"/>
      <c r="D43" s="19"/>
      <c r="G43" s="19"/>
      <c r="H43" s="19"/>
      <c r="I43" s="19"/>
      <c r="K43" s="20"/>
    </row>
    <row r="44" spans="3:11" x14ac:dyDescent="0.3">
      <c r="K44" s="20"/>
    </row>
    <row r="45" spans="3:11" x14ac:dyDescent="0.3">
      <c r="K45" s="20"/>
    </row>
    <row r="46" spans="3:11" x14ac:dyDescent="0.3">
      <c r="K46" s="20"/>
    </row>
    <row r="47" spans="3:11" x14ac:dyDescent="0.3">
      <c r="K47" s="20"/>
    </row>
    <row r="48" spans="3:11" x14ac:dyDescent="0.3">
      <c r="K48" s="20"/>
    </row>
    <row r="49" spans="3:11" x14ac:dyDescent="0.3">
      <c r="K49" s="20"/>
    </row>
    <row r="50" spans="3:11" x14ac:dyDescent="0.3">
      <c r="K50" s="20"/>
    </row>
    <row r="51" spans="3:11" x14ac:dyDescent="0.3">
      <c r="K51" s="20"/>
    </row>
    <row r="52" spans="3:11" x14ac:dyDescent="0.3">
      <c r="K52" s="20"/>
    </row>
    <row r="53" spans="3:11" x14ac:dyDescent="0.3">
      <c r="K53" s="20"/>
    </row>
    <row r="54" spans="3:11" x14ac:dyDescent="0.3">
      <c r="K54" s="20"/>
    </row>
    <row r="55" spans="3:11" x14ac:dyDescent="0.3">
      <c r="K55" s="20"/>
    </row>
    <row r="56" spans="3:11" x14ac:dyDescent="0.3">
      <c r="K56" s="20"/>
    </row>
    <row r="57" spans="3:11" x14ac:dyDescent="0.3">
      <c r="C57" s="19"/>
      <c r="D57" s="19"/>
      <c r="G57" s="19"/>
      <c r="H57" s="19"/>
      <c r="I57" s="19"/>
      <c r="K57" s="20"/>
    </row>
    <row r="58" spans="3:11" x14ac:dyDescent="0.3">
      <c r="C58" s="19"/>
      <c r="D58" s="19"/>
      <c r="G58" s="19"/>
      <c r="H58" s="19"/>
      <c r="I58" s="19"/>
      <c r="K58" s="20"/>
    </row>
    <row r="59" spans="3:11" x14ac:dyDescent="0.3">
      <c r="K59" s="20"/>
    </row>
    <row r="60" spans="3:11" x14ac:dyDescent="0.3">
      <c r="K60" s="20"/>
    </row>
    <row r="61" spans="3:11" x14ac:dyDescent="0.3">
      <c r="K61" s="20"/>
    </row>
    <row r="62" spans="3:11" x14ac:dyDescent="0.3">
      <c r="K62" s="20"/>
    </row>
    <row r="63" spans="3:11" x14ac:dyDescent="0.3">
      <c r="C63" s="19"/>
      <c r="D63" s="19"/>
      <c r="G63" s="19"/>
      <c r="H63" s="19"/>
      <c r="I63" s="19"/>
    </row>
    <row r="64" spans="3:11" x14ac:dyDescent="0.3">
      <c r="C64" s="19"/>
      <c r="D64" s="19"/>
    </row>
    <row r="65" spans="2:9" x14ac:dyDescent="0.3">
      <c r="D65" s="19"/>
    </row>
    <row r="66" spans="2:9" x14ac:dyDescent="0.3">
      <c r="D66" s="19"/>
      <c r="H66" s="19"/>
    </row>
    <row r="67" spans="2:9" x14ac:dyDescent="0.3">
      <c r="D67" s="19"/>
    </row>
    <row r="72" spans="2:9" x14ac:dyDescent="0.3">
      <c r="B72" s="20"/>
      <c r="C72" s="19"/>
      <c r="D72" s="19"/>
      <c r="F72" s="20"/>
      <c r="G72" s="19"/>
      <c r="H72" s="19"/>
      <c r="I72" s="19"/>
    </row>
    <row r="73" spans="2:9" x14ac:dyDescent="0.3">
      <c r="B73" s="20"/>
      <c r="C73" s="19"/>
      <c r="D73" s="19"/>
      <c r="F73" s="20"/>
      <c r="G73" s="19"/>
      <c r="H73" s="19"/>
      <c r="I73" s="19"/>
    </row>
  </sheetData>
  <pageMargins left="0.70866141732283472" right="0.70866141732283472" top="0.74803149606299213" bottom="0.74803149606299213" header="0.31496062992125984" footer="0.31496062992125984"/>
  <pageSetup paperSize="9" orientation="landscape" r:id="rId2"/>
  <headerFooter differentFirst="1">
    <oddFooter>&amp;LG05002   R02&amp;R&amp;P / &amp;N&amp;C&amp;"verdana,Regular"&amp;8Kurum İçi | Internal \  Kişisel Veri İçermez | Contains No Personal Data</oddFooter>
    <firstFooter>&amp;LG05002   R02&amp;CHizmete Özel&amp;R&amp;P / 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ayfa6">
    <tabColor rgb="FFFF0000"/>
  </sheetPr>
  <dimension ref="B1:X36"/>
  <sheetViews>
    <sheetView showGridLines="0" zoomScale="80" zoomScaleNormal="80" workbookViewId="0">
      <selection activeCell="O6" sqref="O6"/>
    </sheetView>
  </sheetViews>
  <sheetFormatPr defaultRowHeight="14.4" x14ac:dyDescent="0.3"/>
  <cols>
    <col min="1" max="1" width="1.33203125" customWidth="1"/>
    <col min="2" max="2" width="9.109375" customWidth="1"/>
    <col min="3" max="5" width="10.6640625" customWidth="1"/>
    <col min="6" max="6" width="12.6640625" customWidth="1"/>
    <col min="7" max="7" width="10.6640625" customWidth="1"/>
    <col min="8" max="8" width="1.6640625" customWidth="1"/>
    <col min="9" max="9" width="0.88671875" customWidth="1"/>
    <col min="10" max="10" width="4.109375" customWidth="1"/>
    <col min="12" max="12" width="10.33203125" customWidth="1"/>
    <col min="21" max="21" width="2.88671875" customWidth="1"/>
    <col min="22" max="22" width="3.6640625" customWidth="1"/>
    <col min="23" max="23" width="6.88671875" customWidth="1"/>
    <col min="26" max="26" width="3.33203125" customWidth="1"/>
  </cols>
  <sheetData>
    <row r="1" spans="2:24" ht="7.5" customHeight="1" x14ac:dyDescent="0.3"/>
    <row r="2" spans="2:24" s="4" customFormat="1" ht="27.6" customHeight="1" x14ac:dyDescent="0.35">
      <c r="B2" s="549" t="s">
        <v>129</v>
      </c>
      <c r="C2" s="549"/>
      <c r="D2" s="549"/>
      <c r="E2" s="549"/>
      <c r="F2" s="549"/>
      <c r="G2" s="549"/>
      <c r="H2" s="550" t="s">
        <v>130</v>
      </c>
      <c r="I2" s="551"/>
      <c r="J2" s="551"/>
      <c r="K2" s="551"/>
      <c r="L2" s="551"/>
      <c r="M2" s="554" t="s">
        <v>131</v>
      </c>
      <c r="N2" s="554"/>
      <c r="O2" s="24" t="str">
        <f>IF(M2="Azalması İyi","-",(IF(M2="Artması İyi","+",(IF(M2="Dengeleme","=")))))</f>
        <v>+</v>
      </c>
      <c r="P2" s="555" t="s">
        <v>132</v>
      </c>
      <c r="Q2" s="555"/>
      <c r="X2" s="78">
        <f>75-X3</f>
        <v>19.735610436637984</v>
      </c>
    </row>
    <row r="3" spans="2:24" ht="24" customHeight="1" x14ac:dyDescent="0.3">
      <c r="B3" s="552" t="s">
        <v>133</v>
      </c>
      <c r="C3" s="552"/>
      <c r="D3" s="552"/>
      <c r="E3" s="552"/>
      <c r="F3" s="552"/>
      <c r="G3" s="552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X3" s="78">
        <f>G6</f>
        <v>55.264389563362016</v>
      </c>
    </row>
    <row r="4" spans="2:24" ht="9" customHeight="1" x14ac:dyDescent="0.3">
      <c r="B4" s="86"/>
      <c r="C4" s="86"/>
      <c r="D4" s="86"/>
      <c r="E4" s="86"/>
      <c r="F4" s="3"/>
      <c r="G4" s="7"/>
    </row>
    <row r="5" spans="2:24" ht="21" customHeight="1" x14ac:dyDescent="0.3">
      <c r="F5" s="22">
        <v>2020</v>
      </c>
      <c r="G5" s="76">
        <v>80.7</v>
      </c>
    </row>
    <row r="6" spans="2:24" ht="21" customHeight="1" x14ac:dyDescent="0.3">
      <c r="B6" s="11"/>
      <c r="C6" s="11"/>
      <c r="D6" s="11"/>
      <c r="E6" s="11"/>
      <c r="F6" s="22">
        <v>2021</v>
      </c>
      <c r="G6" s="77">
        <f>F20</f>
        <v>55.264389563362016</v>
      </c>
      <c r="H6" s="1"/>
      <c r="I6" s="1"/>
      <c r="J6" s="1"/>
    </row>
    <row r="7" spans="2:24" ht="3.6" customHeight="1" x14ac:dyDescent="0.3">
      <c r="B7" s="11"/>
      <c r="C7" s="11"/>
      <c r="D7" s="11"/>
      <c r="E7" s="11"/>
      <c r="F7" s="9"/>
      <c r="G7" s="10"/>
      <c r="H7" s="1"/>
      <c r="I7" s="1"/>
      <c r="J7" s="1"/>
    </row>
    <row r="8" spans="2:24" ht="28.2" customHeight="1" x14ac:dyDescent="0.3">
      <c r="B8" s="12" t="s">
        <v>81</v>
      </c>
      <c r="C8" s="12" t="s">
        <v>134</v>
      </c>
      <c r="D8" s="12" t="s">
        <v>135</v>
      </c>
      <c r="E8" s="17" t="s">
        <v>136</v>
      </c>
      <c r="F8" s="16" t="s">
        <v>137</v>
      </c>
      <c r="G8" s="8" t="s">
        <v>138</v>
      </c>
    </row>
    <row r="9" spans="2:24" ht="21" customHeight="1" x14ac:dyDescent="0.3">
      <c r="B9" s="13" t="s">
        <v>107</v>
      </c>
      <c r="C9" s="15">
        <f>IFERROR(VLOOKUP(B9,Tablo!C5:E18,2,0),0)</f>
        <v>14521</v>
      </c>
      <c r="D9" s="15">
        <f>IFERROR(VLOOKUP(B9,Tablo!C5:H18,6,0),0)</f>
        <v>6566.4273333333331</v>
      </c>
      <c r="E9" s="67">
        <f t="shared" ref="E9:E15" si="0">IFERROR((D9/C9),0)*100</f>
        <v>45.220214402130246</v>
      </c>
      <c r="F9" s="71">
        <f>SUM(D$9:D9)/SUM(C$9:$C9)*100</f>
        <v>45.220214402130246</v>
      </c>
      <c r="G9" s="68">
        <v>75</v>
      </c>
    </row>
    <row r="10" spans="2:24" ht="21" customHeight="1" x14ac:dyDescent="0.3">
      <c r="B10" s="13" t="s">
        <v>109</v>
      </c>
      <c r="C10" s="15">
        <f>IFERROR(VLOOKUP(B10,Tablo!C6:E19,2,0),0)</f>
        <v>16597.5</v>
      </c>
      <c r="D10" s="15">
        <f>IFERROR(VLOOKUP(B10,Tablo!C6:H19,6,0),0)</f>
        <v>9914.1866666666683</v>
      </c>
      <c r="E10" s="67">
        <f t="shared" si="0"/>
        <v>59.733011999799182</v>
      </c>
      <c r="F10" s="71">
        <f>SUM(D$9:D10)/SUM(C$9:$C10)*100</f>
        <v>52.9608239471697</v>
      </c>
      <c r="G10" s="69">
        <f>$G$9</f>
        <v>75</v>
      </c>
    </row>
    <row r="11" spans="2:24" ht="21" customHeight="1" x14ac:dyDescent="0.3">
      <c r="B11" s="13" t="s">
        <v>110</v>
      </c>
      <c r="C11" s="15">
        <f>IFERROR(VLOOKUP(B11,Tablo!C7:E20,2,0),0)</f>
        <v>18605.5</v>
      </c>
      <c r="D11" s="15">
        <f>IFERROR(VLOOKUP(B11,Tablo!C7:H20,6,0),0)</f>
        <v>12341.315666666667</v>
      </c>
      <c r="E11" s="67">
        <f>IFERROR((D11/C11),0)*100</f>
        <v>66.331545331577573</v>
      </c>
      <c r="F11" s="71">
        <f>SUM(D$9:D11)/SUM(C$9:$C11)*100</f>
        <v>57.963819617622612</v>
      </c>
      <c r="G11" s="69">
        <f t="shared" ref="G11:G18" si="1">$G$9</f>
        <v>75</v>
      </c>
    </row>
    <row r="12" spans="2:24" ht="21" customHeight="1" x14ac:dyDescent="0.3">
      <c r="B12" s="13" t="s">
        <v>111</v>
      </c>
      <c r="C12" s="15">
        <f>IFERROR(VLOOKUP(B12,Tablo!C8:E21,2,0),0)</f>
        <v>17204</v>
      </c>
      <c r="D12" s="15">
        <f>IFERROR(VLOOKUP(B12,Tablo!C8:H21,6,0),0)</f>
        <v>10447.221333333335</v>
      </c>
      <c r="E12" s="67">
        <f t="shared" si="0"/>
        <v>60.725536696892199</v>
      </c>
      <c r="F12" s="71">
        <f>SUM(D$9:D12)/SUM(C$9:$C12)*100</f>
        <v>58.673725496055475</v>
      </c>
      <c r="G12" s="69">
        <f t="shared" si="1"/>
        <v>75</v>
      </c>
    </row>
    <row r="13" spans="2:24" ht="21" customHeight="1" x14ac:dyDescent="0.3">
      <c r="B13" s="13" t="s">
        <v>112</v>
      </c>
      <c r="C13" s="15">
        <f>IFERROR(VLOOKUP(B13,Tablo!C9:E22,2,0),0)</f>
        <v>15618.5</v>
      </c>
      <c r="D13" s="15">
        <f>IFERROR(VLOOKUP(B13,Tablo!C9:H22,6,0),0)</f>
        <v>8687.3066666666673</v>
      </c>
      <c r="E13" s="67">
        <f t="shared" si="0"/>
        <v>55.621901377639773</v>
      </c>
      <c r="F13" s="71">
        <f>SUM(D$9:D13)/SUM(C$9:$C13)*100</f>
        <v>58.096294411836567</v>
      </c>
      <c r="G13" s="69">
        <f t="shared" si="1"/>
        <v>75</v>
      </c>
    </row>
    <row r="14" spans="2:24" ht="21" customHeight="1" x14ac:dyDescent="0.3">
      <c r="B14" s="13" t="s">
        <v>113</v>
      </c>
      <c r="C14" s="15">
        <f>IFERROR(VLOOKUP(B14,Tablo!C10:E23,2,0),0)</f>
        <v>17672</v>
      </c>
      <c r="D14" s="15">
        <f>IFERROR(VLOOKUP(B14,Tablo!C10:H23,6,0),0)</f>
        <v>10885.814</v>
      </c>
      <c r="E14" s="67">
        <f t="shared" si="0"/>
        <v>61.599219103666826</v>
      </c>
      <c r="F14" s="71">
        <f>SUM(D$9:D14)/SUM(C$9:$C14)*100</f>
        <v>58.713981616833891</v>
      </c>
      <c r="G14" s="69">
        <f t="shared" si="1"/>
        <v>75</v>
      </c>
    </row>
    <row r="15" spans="2:24" ht="21" customHeight="1" x14ac:dyDescent="0.3">
      <c r="B15" s="13" t="s">
        <v>114</v>
      </c>
      <c r="C15" s="15">
        <f>IFERROR(VLOOKUP(B15,Tablo!C11:E24,2,0),0)</f>
        <v>17776</v>
      </c>
      <c r="D15" s="15">
        <f>IFERROR(VLOOKUP(B15,Tablo!C11:H24,6,0),0)</f>
        <v>7515.7116666666661</v>
      </c>
      <c r="E15" s="67">
        <f t="shared" si="0"/>
        <v>42.280106135613558</v>
      </c>
      <c r="F15" s="71">
        <f>SUM(D$9:D15)/SUM(C$9:$C15)*100</f>
        <v>56.238200368096258</v>
      </c>
      <c r="G15" s="69">
        <f t="shared" si="1"/>
        <v>75</v>
      </c>
    </row>
    <row r="16" spans="2:24" ht="21" customHeight="1" x14ac:dyDescent="0.3">
      <c r="B16" s="13" t="s">
        <v>115</v>
      </c>
      <c r="C16" s="15">
        <f>IFERROR(VLOOKUP(B16,Tablo!C12:E25,2,0),0)</f>
        <v>22281</v>
      </c>
      <c r="D16" s="15">
        <f>IFERROR(VLOOKUP(B16,Tablo!C12:H25,6,0),0)</f>
        <v>10183.798333333332</v>
      </c>
      <c r="E16" s="67">
        <f>IFERROR((D16/C16),0)*100</f>
        <v>45.706199602052564</v>
      </c>
      <c r="F16" s="71">
        <f>SUM(D$9:D16)/SUM(C$9:$C16)*100</f>
        <v>54.565324427050108</v>
      </c>
      <c r="G16" s="69">
        <f t="shared" si="1"/>
        <v>75</v>
      </c>
    </row>
    <row r="17" spans="2:10" ht="21" customHeight="1" x14ac:dyDescent="0.3">
      <c r="B17" s="13" t="s">
        <v>116</v>
      </c>
      <c r="C17" s="15">
        <f>IFERROR(VLOOKUP(B17,Tablo!C13:E26,2,0),0)</f>
        <v>22197</v>
      </c>
      <c r="D17" s="15">
        <f>IFERROR(VLOOKUP(B17,Tablo!C13:H26,6,0),0)</f>
        <v>13247.653666666667</v>
      </c>
      <c r="E17" s="67">
        <f t="shared" ref="E17:E20" si="2">IFERROR((D17/C17),0)*100</f>
        <v>59.68218077517983</v>
      </c>
      <c r="F17" s="71">
        <f>SUM(D$9:D17)/SUM(C$9:$C17)*100</f>
        <v>55.264389563362016</v>
      </c>
      <c r="G17" s="69">
        <f t="shared" si="1"/>
        <v>75</v>
      </c>
    </row>
    <row r="18" spans="2:10" ht="21" customHeight="1" x14ac:dyDescent="0.3">
      <c r="B18" s="13" t="s">
        <v>117</v>
      </c>
      <c r="C18" s="15">
        <f>IFERROR(VLOOKUP(B18,Tablo!C14:E27,2,0),0)</f>
        <v>0</v>
      </c>
      <c r="D18" s="15">
        <f>IFERROR(VLOOKUP(B18,Tablo!C14:H27,6,0),0)</f>
        <v>0</v>
      </c>
      <c r="E18" s="67">
        <f t="shared" si="2"/>
        <v>0</v>
      </c>
      <c r="F18" s="71">
        <f>SUM(D$9:D18)/SUM(C$9:$C18)*100</f>
        <v>55.264389563362016</v>
      </c>
      <c r="G18" s="69">
        <f t="shared" si="1"/>
        <v>75</v>
      </c>
    </row>
    <row r="19" spans="2:10" ht="21" customHeight="1" x14ac:dyDescent="0.3">
      <c r="B19" s="13" t="s">
        <v>118</v>
      </c>
      <c r="C19" s="15">
        <f>IFERROR(VLOOKUP(B19,Tablo!C15:E28,2,0),0)</f>
        <v>0</v>
      </c>
      <c r="D19" s="15">
        <f>IFERROR(VLOOKUP(B19,Tablo!C15:H28,6,0),0)</f>
        <v>0</v>
      </c>
      <c r="E19" s="67">
        <f t="shared" si="2"/>
        <v>0</v>
      </c>
      <c r="F19" s="71">
        <f>SUM(D$9:D19)/SUM(C$9:$C19)*100</f>
        <v>55.264389563362016</v>
      </c>
      <c r="G19" s="69">
        <f>$G$9</f>
        <v>75</v>
      </c>
    </row>
    <row r="20" spans="2:10" ht="21" customHeight="1" x14ac:dyDescent="0.3">
      <c r="B20" s="13" t="s">
        <v>119</v>
      </c>
      <c r="C20" s="15">
        <f>IFERROR(VLOOKUP(B20,Tablo!C16:E29,2,0),0)</f>
        <v>0</v>
      </c>
      <c r="D20" s="15">
        <f>IFERROR(VLOOKUP(B20,Tablo!C16:H29,6,0),0)</f>
        <v>0</v>
      </c>
      <c r="E20" s="67">
        <f t="shared" si="2"/>
        <v>0</v>
      </c>
      <c r="F20" s="71">
        <f>SUM(D$9:D20)/SUM(C$9:$C20)*100</f>
        <v>55.264389563362016</v>
      </c>
      <c r="G20" s="69">
        <f>$G$9</f>
        <v>75</v>
      </c>
    </row>
    <row r="21" spans="2:10" ht="4.2" customHeight="1" x14ac:dyDescent="0.3"/>
    <row r="22" spans="2:10" ht="13.2" customHeight="1" x14ac:dyDescent="0.3">
      <c r="B22" s="548" t="s">
        <v>139</v>
      </c>
      <c r="C22" s="548"/>
      <c r="D22" s="548"/>
      <c r="E22" s="548"/>
      <c r="F22" s="548"/>
      <c r="G22" s="23"/>
    </row>
    <row r="23" spans="2:10" ht="18" customHeight="1" x14ac:dyDescent="0.3">
      <c r="B23" s="548"/>
      <c r="C23" s="548"/>
      <c r="D23" s="548"/>
      <c r="E23" s="548"/>
      <c r="F23" s="548"/>
      <c r="G23" s="23"/>
    </row>
    <row r="24" spans="2:10" ht="18" customHeight="1" x14ac:dyDescent="0.3"/>
    <row r="25" spans="2:10" ht="18" customHeight="1" x14ac:dyDescent="0.3"/>
    <row r="26" spans="2:10" ht="18" customHeight="1" x14ac:dyDescent="0.3"/>
    <row r="27" spans="2:10" ht="18" customHeight="1" x14ac:dyDescent="0.3"/>
    <row r="28" spans="2:10" ht="18" customHeight="1" x14ac:dyDescent="0.3"/>
    <row r="29" spans="2:10" ht="17.399999999999999" customHeight="1" x14ac:dyDescent="0.3"/>
    <row r="30" spans="2:10" ht="9" customHeight="1" x14ac:dyDescent="0.3">
      <c r="H30" s="6"/>
      <c r="I30" s="6"/>
      <c r="J30" s="6"/>
    </row>
    <row r="31" spans="2:10" ht="9" customHeight="1" x14ac:dyDescent="0.3">
      <c r="H31" s="2"/>
      <c r="I31" s="2"/>
      <c r="J31" s="2"/>
    </row>
    <row r="32" spans="2:10" ht="17.399999999999999" customHeight="1" x14ac:dyDescent="0.3"/>
    <row r="33" spans="11:11" ht="17.399999999999999" customHeight="1" x14ac:dyDescent="0.3"/>
    <row r="34" spans="11:11" ht="17.399999999999999" customHeight="1" x14ac:dyDescent="0.3"/>
    <row r="35" spans="11:11" ht="17.399999999999999" customHeight="1" x14ac:dyDescent="0.3"/>
    <row r="36" spans="11:11" x14ac:dyDescent="0.3">
      <c r="K36" s="5"/>
    </row>
  </sheetData>
  <sheetProtection autoFilter="0" pivotTables="0"/>
  <protectedRanges>
    <protectedRange sqref="F5:F6 G5 G9 B22 B2:G3" name="Aralık1_1_2_1"/>
  </protectedRanges>
  <mergeCells count="7">
    <mergeCell ref="B22:F23"/>
    <mergeCell ref="B2:G2"/>
    <mergeCell ref="H2:L2"/>
    <mergeCell ref="B3:G3"/>
    <mergeCell ref="J3:U3"/>
    <mergeCell ref="M2:N2"/>
    <mergeCell ref="P2:Q2"/>
  </mergeCells>
  <dataValidations count="5">
    <dataValidation allowBlank="1" showInputMessage="1" showErrorMessage="1" promptTitle="HEDEF" prompt="Hedef değeri güncelleyiniz." sqref="G8" xr:uid="{00000000-0002-0000-0500-000000000000}"/>
    <dataValidation type="list" allowBlank="1" showInputMessage="1" showErrorMessage="1" sqref="M2:N2" xr:uid="{00000000-0002-0000-0500-000001000000}">
      <formula1>"Azalması İyi,Artması İyi,Dengeleme"</formula1>
    </dataValidation>
    <dataValidation type="list" allowBlank="1" showInputMessage="1" showErrorMessage="1" sqref="O2" xr:uid="{00000000-0002-0000-0500-000002000000}">
      <formula1>"-,+,="</formula1>
    </dataValidation>
    <dataValidation allowBlank="1" showInputMessage="1" showErrorMessage="1" promptTitle="Kümülatif" prompt="Sene başından bugüne kadar olan değer" sqref="F8" xr:uid="{00000000-0002-0000-0500-000003000000}"/>
    <dataValidation allowBlank="1" showInputMessage="1" showErrorMessage="1" promptTitle="Dönem" prompt="Çeyrek" sqref="E8" xr:uid="{00000000-0002-0000-0500-000004000000}"/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 differentFirst="1">
    <oddFooter>&amp;LG05002   R02&amp;R&amp;P / &amp;N&amp;C&amp;"verdana,Regular"&amp;8Kurum İçi | Internal \  Kişisel Veri İçermez | Contains No Personal Data</oddFooter>
    <firstFooter>&amp;LG05002   R02&amp;CHizmete Özel&amp;R&amp;P / &amp;N</firstFoot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ayfa7">
    <tabColor rgb="FFFF0000"/>
  </sheetPr>
  <dimension ref="B1:V36"/>
  <sheetViews>
    <sheetView showGridLines="0" topLeftCell="A4" zoomScale="85" zoomScaleNormal="85" workbookViewId="0">
      <selection activeCell="AB21" sqref="AB21"/>
    </sheetView>
  </sheetViews>
  <sheetFormatPr defaultRowHeight="14.4" x14ac:dyDescent="0.3"/>
  <cols>
    <col min="1" max="1" width="1.33203125" customWidth="1"/>
    <col min="2" max="2" width="9.109375" customWidth="1"/>
    <col min="3" max="5" width="10.6640625" customWidth="1"/>
    <col min="6" max="6" width="12.6640625" customWidth="1"/>
    <col min="7" max="7" width="10.6640625" customWidth="1"/>
    <col min="8" max="8" width="1.6640625" customWidth="1"/>
    <col min="9" max="9" width="0.88671875" customWidth="1"/>
    <col min="10" max="10" width="4.109375" customWidth="1"/>
    <col min="21" max="21" width="2.88671875" customWidth="1"/>
    <col min="22" max="22" width="3.6640625" customWidth="1"/>
    <col min="23" max="23" width="6.88671875" customWidth="1"/>
    <col min="26" max="26" width="3.33203125" customWidth="1"/>
  </cols>
  <sheetData>
    <row r="1" spans="2:22" ht="7.5" customHeight="1" x14ac:dyDescent="0.3"/>
    <row r="2" spans="2:22" s="4" customFormat="1" ht="27.6" customHeight="1" x14ac:dyDescent="0.35">
      <c r="B2" s="549" t="s">
        <v>129</v>
      </c>
      <c r="C2" s="549"/>
      <c r="D2" s="549"/>
      <c r="E2" s="549"/>
      <c r="F2" s="549"/>
      <c r="G2" s="549"/>
      <c r="H2" s="550" t="s">
        <v>130</v>
      </c>
      <c r="I2" s="551"/>
      <c r="J2" s="551"/>
      <c r="K2" s="551"/>
      <c r="L2" s="551"/>
      <c r="M2" s="554" t="s">
        <v>140</v>
      </c>
      <c r="N2" s="554"/>
      <c r="O2" s="24" t="str">
        <f>IF(M2="Azalması İyi","-",(IF(M2="Artması İyi","+",(IF(M2="Dengeleme","=")))))</f>
        <v>-</v>
      </c>
      <c r="P2" s="555" t="s">
        <v>132</v>
      </c>
      <c r="Q2" s="555"/>
      <c r="V2" s="78">
        <f>15-V3</f>
        <v>14.73454994947863</v>
      </c>
    </row>
    <row r="3" spans="2:22" ht="24" customHeight="1" x14ac:dyDescent="0.3">
      <c r="B3" s="552" t="s">
        <v>141</v>
      </c>
      <c r="C3" s="552"/>
      <c r="D3" s="552"/>
      <c r="E3" s="552"/>
      <c r="F3" s="552"/>
      <c r="G3" s="552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78">
        <f>G6</f>
        <v>0.26545005052137027</v>
      </c>
    </row>
    <row r="4" spans="2:22" ht="9" customHeight="1" x14ac:dyDescent="0.3">
      <c r="B4" s="86"/>
      <c r="C4" s="86"/>
      <c r="D4" s="86"/>
      <c r="E4" s="86"/>
      <c r="F4" s="3"/>
      <c r="G4" s="7"/>
    </row>
    <row r="5" spans="2:22" ht="21" customHeight="1" x14ac:dyDescent="0.3">
      <c r="F5" s="22">
        <v>2020</v>
      </c>
      <c r="G5" s="76">
        <v>10.5</v>
      </c>
    </row>
    <row r="6" spans="2:22" ht="21" customHeight="1" x14ac:dyDescent="0.3">
      <c r="B6" s="11"/>
      <c r="C6" s="11"/>
      <c r="D6" s="11"/>
      <c r="E6" s="11"/>
      <c r="F6" s="22">
        <v>2021</v>
      </c>
      <c r="G6" s="77">
        <f>F20</f>
        <v>0.26545005052137027</v>
      </c>
      <c r="H6" s="1"/>
      <c r="I6" s="1"/>
      <c r="J6" s="1"/>
    </row>
    <row r="7" spans="2:22" ht="3.6" customHeight="1" x14ac:dyDescent="0.3">
      <c r="B7" s="11"/>
      <c r="C7" s="11"/>
      <c r="D7" s="11"/>
      <c r="E7" s="11"/>
      <c r="F7" s="9"/>
      <c r="G7" s="10"/>
      <c r="H7" s="1"/>
      <c r="I7" s="1"/>
      <c r="J7" s="1"/>
    </row>
    <row r="8" spans="2:22" ht="28.2" customHeight="1" x14ac:dyDescent="0.3">
      <c r="B8" s="12" t="s">
        <v>81</v>
      </c>
      <c r="C8" s="12" t="s">
        <v>134</v>
      </c>
      <c r="D8" s="12" t="s">
        <v>93</v>
      </c>
      <c r="E8" s="17" t="s">
        <v>136</v>
      </c>
      <c r="F8" s="16" t="s">
        <v>137</v>
      </c>
      <c r="G8" s="8" t="s">
        <v>138</v>
      </c>
    </row>
    <row r="9" spans="2:22" ht="21" customHeight="1" x14ac:dyDescent="0.3">
      <c r="B9" s="13" t="s">
        <v>107</v>
      </c>
      <c r="C9" s="15">
        <f>IFERROR(VLOOKUP(B9,Tablo!C5:E18,2,0),0)</f>
        <v>14521</v>
      </c>
      <c r="D9" s="15">
        <f>IFERROR(VLOOKUP(B9,Tablo!C5:F18,4,0),0)</f>
        <v>0</v>
      </c>
      <c r="E9" s="67">
        <f>IFERROR((D9/C9),0)*100</f>
        <v>0</v>
      </c>
      <c r="F9" s="71">
        <f>SUM(D$9:D9)/SUM(C$9:$C9)*100</f>
        <v>0</v>
      </c>
      <c r="G9" s="68">
        <v>15</v>
      </c>
    </row>
    <row r="10" spans="2:22" ht="21" customHeight="1" x14ac:dyDescent="0.3">
      <c r="B10" s="13" t="s">
        <v>109</v>
      </c>
      <c r="C10" s="15">
        <f>IFERROR(VLOOKUP(B10,Tablo!C6:E19,2,0),0)</f>
        <v>16597.5</v>
      </c>
      <c r="D10" s="15">
        <f>IFERROR(VLOOKUP(B10,Tablo!C6:F19,4,0),0)</f>
        <v>0</v>
      </c>
      <c r="E10" s="67">
        <f>IFERROR((D10/C10),0)*100</f>
        <v>0</v>
      </c>
      <c r="F10" s="71">
        <f>SUM(D$9:D10)/SUM(C$9:$C10)*100</f>
        <v>0</v>
      </c>
      <c r="G10" s="69">
        <f>$G$9</f>
        <v>15</v>
      </c>
    </row>
    <row r="11" spans="2:22" ht="21" customHeight="1" x14ac:dyDescent="0.3">
      <c r="B11" s="13" t="s">
        <v>110</v>
      </c>
      <c r="C11" s="15">
        <f>IFERROR(VLOOKUP(B11,Tablo!C7:E20,2,0),0)</f>
        <v>18605.5</v>
      </c>
      <c r="D11" s="15">
        <f>IFERROR(VLOOKUP(B11,Tablo!C7:F20,4,0),0)</f>
        <v>0</v>
      </c>
      <c r="E11" s="67">
        <f t="shared" ref="E11:E20" si="0">IFERROR((D11/C11),0)*100</f>
        <v>0</v>
      </c>
      <c r="F11" s="71">
        <f>SUM(D$9:D11)/SUM(C$9:$C11)*100</f>
        <v>0</v>
      </c>
      <c r="G11" s="69">
        <f t="shared" ref="G11:G18" si="1">$G$9</f>
        <v>15</v>
      </c>
    </row>
    <row r="12" spans="2:22" ht="21" customHeight="1" x14ac:dyDescent="0.3">
      <c r="B12" s="13" t="s">
        <v>111</v>
      </c>
      <c r="C12" s="15">
        <f>IFERROR(VLOOKUP(B12,Tablo!C8:E21,2,0),0)</f>
        <v>17204</v>
      </c>
      <c r="D12" s="15">
        <f>IFERROR(VLOOKUP(B12,Tablo!C8:F21,4,0),0)</f>
        <v>0</v>
      </c>
      <c r="E12" s="67">
        <f t="shared" si="0"/>
        <v>0</v>
      </c>
      <c r="F12" s="71">
        <f>SUM(D$9:D12)/SUM(C$9:$C12)*100</f>
        <v>0</v>
      </c>
      <c r="G12" s="69">
        <f t="shared" si="1"/>
        <v>15</v>
      </c>
    </row>
    <row r="13" spans="2:22" ht="21" customHeight="1" x14ac:dyDescent="0.3">
      <c r="B13" s="13" t="s">
        <v>112</v>
      </c>
      <c r="C13" s="15">
        <f>IFERROR(VLOOKUP(B13,Tablo!C9:E22,2,0),0)</f>
        <v>15618.5</v>
      </c>
      <c r="D13" s="15">
        <f>IFERROR(VLOOKUP(B13,Tablo!C9:F22,4,0),0)</f>
        <v>0</v>
      </c>
      <c r="E13" s="67">
        <f t="shared" si="0"/>
        <v>0</v>
      </c>
      <c r="F13" s="71">
        <f>SUM(D$9:D13)/SUM(C$9:$C13)*100</f>
        <v>0</v>
      </c>
      <c r="G13" s="69">
        <f t="shared" si="1"/>
        <v>15</v>
      </c>
    </row>
    <row r="14" spans="2:22" ht="21" customHeight="1" x14ac:dyDescent="0.3">
      <c r="B14" s="13" t="s">
        <v>113</v>
      </c>
      <c r="C14" s="15">
        <f>IFERROR(VLOOKUP(B14,Tablo!C10:E23,2,0),0)</f>
        <v>17672</v>
      </c>
      <c r="D14" s="15">
        <f>IFERROR(VLOOKUP(B14,Tablo!C10:F23,4,0),0)</f>
        <v>0</v>
      </c>
      <c r="E14" s="67">
        <f t="shared" si="0"/>
        <v>0</v>
      </c>
      <c r="F14" s="71">
        <f>SUM(D$9:D14)/SUM(C$9:$C14)*100</f>
        <v>0</v>
      </c>
      <c r="G14" s="69">
        <f t="shared" si="1"/>
        <v>15</v>
      </c>
    </row>
    <row r="15" spans="2:22" ht="21" customHeight="1" x14ac:dyDescent="0.3">
      <c r="B15" s="13" t="s">
        <v>114</v>
      </c>
      <c r="C15" s="15">
        <f>IFERROR(VLOOKUP(B15,Tablo!C11:E24,2,0),0)</f>
        <v>17776</v>
      </c>
      <c r="D15" s="15">
        <f>IFERROR(VLOOKUP(B15,Tablo!C11:F24,4,0),0)</f>
        <v>0</v>
      </c>
      <c r="E15" s="67">
        <f t="shared" si="0"/>
        <v>0</v>
      </c>
      <c r="F15" s="71">
        <f>SUM(D$9:D15)/SUM(C$9:$C15)*100</f>
        <v>0</v>
      </c>
      <c r="G15" s="69">
        <f t="shared" si="1"/>
        <v>15</v>
      </c>
    </row>
    <row r="16" spans="2:22" ht="21" customHeight="1" x14ac:dyDescent="0.3">
      <c r="B16" s="13" t="s">
        <v>115</v>
      </c>
      <c r="C16" s="15">
        <f>IFERROR(VLOOKUP(B16,Tablo!C12:E25,2,0),0)</f>
        <v>22281</v>
      </c>
      <c r="D16" s="15">
        <f>IFERROR(VLOOKUP(B16,Tablo!C12:F25,4,0),0)</f>
        <v>271.5</v>
      </c>
      <c r="E16" s="67">
        <f t="shared" si="0"/>
        <v>1.218526996095328</v>
      </c>
      <c r="F16" s="71">
        <f>SUM(D$9:D16)/SUM(C$9:$C16)*100</f>
        <v>0.1935476972101329</v>
      </c>
      <c r="G16" s="69">
        <f t="shared" si="1"/>
        <v>15</v>
      </c>
    </row>
    <row r="17" spans="2:10" ht="21" customHeight="1" x14ac:dyDescent="0.3">
      <c r="B17" s="13" t="s">
        <v>116</v>
      </c>
      <c r="C17" s="15">
        <f>IFERROR(VLOOKUP(B17,Tablo!C13:E26,2,0),0)</f>
        <v>22197</v>
      </c>
      <c r="D17" s="15">
        <f>IFERROR(VLOOKUP(B17,Tablo!C13:F26,4,0),0)</f>
        <v>159.78333333333333</v>
      </c>
      <c r="E17" s="67">
        <f t="shared" si="0"/>
        <v>0.71984202069348713</v>
      </c>
      <c r="F17" s="71">
        <f>SUM(D$9:D17)/SUM(C$9:$C17)*100</f>
        <v>0.26545005052137027</v>
      </c>
      <c r="G17" s="69">
        <f t="shared" si="1"/>
        <v>15</v>
      </c>
    </row>
    <row r="18" spans="2:10" ht="21" customHeight="1" x14ac:dyDescent="0.3">
      <c r="B18" s="13" t="s">
        <v>117</v>
      </c>
      <c r="C18" s="15">
        <f>IFERROR(VLOOKUP(B18,Tablo!C14:E27,2,0),0)</f>
        <v>0</v>
      </c>
      <c r="D18" s="15">
        <f>IFERROR(VLOOKUP(B18,Tablo!C14:F27,4,0),0)</f>
        <v>0</v>
      </c>
      <c r="E18" s="67">
        <f t="shared" si="0"/>
        <v>0</v>
      </c>
      <c r="F18" s="71">
        <f>SUM(D$9:D18)/SUM(C$9:$C18)*100</f>
        <v>0.26545005052137027</v>
      </c>
      <c r="G18" s="69">
        <f t="shared" si="1"/>
        <v>15</v>
      </c>
    </row>
    <row r="19" spans="2:10" ht="21" customHeight="1" x14ac:dyDescent="0.3">
      <c r="B19" s="13" t="s">
        <v>118</v>
      </c>
      <c r="C19" s="15">
        <f>IFERROR(VLOOKUP(B19,Tablo!C15:E28,2,0),0)</f>
        <v>0</v>
      </c>
      <c r="D19" s="15">
        <f>IFERROR(VLOOKUP(B19,Tablo!C15:F28,4,0),0)</f>
        <v>0</v>
      </c>
      <c r="E19" s="67">
        <f t="shared" si="0"/>
        <v>0</v>
      </c>
      <c r="F19" s="71">
        <f>SUM(D$9:D19)/SUM(C$9:$C19)*100</f>
        <v>0.26545005052137027</v>
      </c>
      <c r="G19" s="69">
        <f>$G$9</f>
        <v>15</v>
      </c>
    </row>
    <row r="20" spans="2:10" ht="21" customHeight="1" x14ac:dyDescent="0.3">
      <c r="B20" s="13" t="s">
        <v>119</v>
      </c>
      <c r="C20" s="15">
        <f>IFERROR(VLOOKUP(B20,Tablo!C16:E29,2,0),0)</f>
        <v>0</v>
      </c>
      <c r="D20" s="15">
        <f>IFERROR(VLOOKUP(B20,Tablo!C16:F29,4,0),0)</f>
        <v>0</v>
      </c>
      <c r="E20" s="67">
        <f t="shared" si="0"/>
        <v>0</v>
      </c>
      <c r="F20" s="71">
        <f>SUM(D$9:D20)/SUM(C$9:$C20)*100</f>
        <v>0.26545005052137027</v>
      </c>
      <c r="G20" s="69">
        <f>$G$9</f>
        <v>15</v>
      </c>
    </row>
    <row r="21" spans="2:10" ht="4.2" customHeight="1" x14ac:dyDescent="0.3"/>
    <row r="22" spans="2:10" ht="13.2" customHeight="1" x14ac:dyDescent="0.3">
      <c r="B22" s="548" t="s">
        <v>142</v>
      </c>
      <c r="C22" s="548"/>
      <c r="D22" s="548"/>
      <c r="E22" s="548"/>
      <c r="F22" s="548"/>
      <c r="G22" s="23"/>
    </row>
    <row r="23" spans="2:10" ht="18" customHeight="1" x14ac:dyDescent="0.3">
      <c r="B23" s="548"/>
      <c r="C23" s="548"/>
      <c r="D23" s="548"/>
      <c r="E23" s="548"/>
      <c r="F23" s="548"/>
      <c r="G23" s="23"/>
    </row>
    <row r="24" spans="2:10" ht="18" customHeight="1" x14ac:dyDescent="0.3"/>
    <row r="25" spans="2:10" ht="18" customHeight="1" x14ac:dyDescent="0.3"/>
    <row r="26" spans="2:10" ht="18" customHeight="1" x14ac:dyDescent="0.3"/>
    <row r="27" spans="2:10" ht="18" customHeight="1" x14ac:dyDescent="0.3"/>
    <row r="28" spans="2:10" ht="18" customHeight="1" x14ac:dyDescent="0.3"/>
    <row r="29" spans="2:10" ht="17.399999999999999" customHeight="1" x14ac:dyDescent="0.3"/>
    <row r="30" spans="2:10" ht="9" customHeight="1" x14ac:dyDescent="0.3">
      <c r="H30" s="6"/>
      <c r="I30" s="6"/>
      <c r="J30" s="6"/>
    </row>
    <row r="31" spans="2:10" ht="9" customHeight="1" x14ac:dyDescent="0.3">
      <c r="H31" s="2"/>
      <c r="I31" s="2"/>
      <c r="J31" s="2"/>
    </row>
    <row r="32" spans="2:10" ht="17.399999999999999" customHeight="1" x14ac:dyDescent="0.3"/>
    <row r="33" spans="11:11" ht="17.399999999999999" customHeight="1" x14ac:dyDescent="0.3"/>
    <row r="34" spans="11:11" ht="17.399999999999999" customHeight="1" x14ac:dyDescent="0.3"/>
    <row r="35" spans="11:11" ht="17.399999999999999" customHeight="1" x14ac:dyDescent="0.3"/>
    <row r="36" spans="11:11" x14ac:dyDescent="0.3">
      <c r="K36" s="5"/>
    </row>
  </sheetData>
  <sheetProtection autoFilter="0" pivotTables="0"/>
  <protectedRanges>
    <protectedRange sqref="B3:G3 F5:F6 G5 G9 B22" name="Aralık1_1_2_1"/>
    <protectedRange sqref="B2:G2" name="Aralık1_1_2_1_1"/>
  </protectedRanges>
  <mergeCells count="7">
    <mergeCell ref="B22:F23"/>
    <mergeCell ref="B2:G2"/>
    <mergeCell ref="H2:L2"/>
    <mergeCell ref="M2:N2"/>
    <mergeCell ref="P2:Q2"/>
    <mergeCell ref="B3:G3"/>
    <mergeCell ref="J3:U3"/>
  </mergeCells>
  <dataValidations count="5">
    <dataValidation allowBlank="1" showInputMessage="1" showErrorMessage="1" promptTitle="Dönem" prompt="Çeyrek" sqref="E8" xr:uid="{00000000-0002-0000-0600-000000000000}"/>
    <dataValidation allowBlank="1" showInputMessage="1" showErrorMessage="1" promptTitle="Kümülatif" prompt="Sene başından bugüne kadar olan değer" sqref="F8" xr:uid="{00000000-0002-0000-0600-000001000000}"/>
    <dataValidation type="list" allowBlank="1" showInputMessage="1" showErrorMessage="1" sqref="O2" xr:uid="{00000000-0002-0000-0600-000002000000}">
      <formula1>"-,+,="</formula1>
    </dataValidation>
    <dataValidation type="list" allowBlank="1" showInputMessage="1" showErrorMessage="1" sqref="M2:N2" xr:uid="{00000000-0002-0000-0600-000003000000}">
      <formula1>"Azalması İyi,Artması İyi,Dengeleme"</formula1>
    </dataValidation>
    <dataValidation allowBlank="1" showInputMessage="1" showErrorMessage="1" promptTitle="HEDEF" prompt="Hedef değeri güncelleyiniz." sqref="G8" xr:uid="{00000000-0002-0000-0600-000004000000}"/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 differentFirst="1">
    <oddFooter>&amp;LG05002   R02&amp;R&amp;P / &amp;N&amp;C&amp;"verdana,Regular"&amp;8Kurum İçi | Internal \  Kişisel Veri İçermez | Contains No Personal Data</oddFooter>
    <firstFooter>&amp;LG05002   R02&amp;CHizmete Özel&amp;R&amp;P / &amp;N</firstFoot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ayfa8">
    <tabColor rgb="FFFF0000"/>
  </sheetPr>
  <dimension ref="B1:Y36"/>
  <sheetViews>
    <sheetView showGridLines="0" topLeftCell="A4" zoomScale="98" zoomScaleNormal="98" workbookViewId="0">
      <selection activeCell="J27" sqref="J27"/>
    </sheetView>
  </sheetViews>
  <sheetFormatPr defaultRowHeight="14.4" x14ac:dyDescent="0.3"/>
  <cols>
    <col min="1" max="1" width="0.88671875" customWidth="1"/>
    <col min="2" max="2" width="9.109375" customWidth="1"/>
    <col min="3" max="3" width="10.6640625" customWidth="1"/>
    <col min="4" max="4" width="14.44140625" customWidth="1"/>
    <col min="5" max="5" width="11" bestFit="1" customWidth="1"/>
    <col min="6" max="6" width="16.33203125" hidden="1" customWidth="1"/>
    <col min="7" max="7" width="11.33203125" bestFit="1" customWidth="1"/>
    <col min="8" max="8" width="10.6640625" customWidth="1"/>
    <col min="9" max="9" width="1.6640625" customWidth="1"/>
    <col min="10" max="10" width="0.88671875" customWidth="1"/>
    <col min="11" max="11" width="4.109375" customWidth="1"/>
    <col min="22" max="22" width="2.88671875" customWidth="1"/>
    <col min="23" max="23" width="3.6640625" customWidth="1"/>
    <col min="24" max="24" width="6.88671875" customWidth="1"/>
    <col min="27" max="27" width="3.33203125" customWidth="1"/>
  </cols>
  <sheetData>
    <row r="1" spans="2:25" ht="4.95" customHeight="1" x14ac:dyDescent="0.3"/>
    <row r="2" spans="2:25" s="4" customFormat="1" ht="27.6" customHeight="1" x14ac:dyDescent="0.35">
      <c r="B2" s="549" t="s">
        <v>129</v>
      </c>
      <c r="C2" s="549"/>
      <c r="D2" s="549"/>
      <c r="E2" s="549"/>
      <c r="F2" s="549"/>
      <c r="G2" s="549"/>
      <c r="H2" s="549"/>
      <c r="I2" s="550" t="s">
        <v>130</v>
      </c>
      <c r="J2" s="551"/>
      <c r="K2" s="551"/>
      <c r="L2" s="551"/>
      <c r="M2" s="551"/>
      <c r="N2" s="554" t="s">
        <v>140</v>
      </c>
      <c r="O2" s="554"/>
      <c r="P2" s="24" t="str">
        <f>IF(N2="Azalması İyi","-",(IF(N2="Artması İyi","+",(IF(N2="Dengeleme","=")))))</f>
        <v>-</v>
      </c>
      <c r="Q2" s="555" t="s">
        <v>132</v>
      </c>
      <c r="R2" s="555"/>
      <c r="Y2" s="14">
        <f>10-Y3</f>
        <v>-34.470160386116611</v>
      </c>
    </row>
    <row r="3" spans="2:25" ht="24" customHeight="1" x14ac:dyDescent="0.3">
      <c r="B3" s="552" t="s">
        <v>143</v>
      </c>
      <c r="C3" s="552"/>
      <c r="D3" s="552"/>
      <c r="E3" s="552"/>
      <c r="F3" s="552"/>
      <c r="G3" s="552"/>
      <c r="H3" s="552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Y3" s="14">
        <f>H6</f>
        <v>44.470160386116611</v>
      </c>
    </row>
    <row r="4" spans="2:25" ht="9" customHeight="1" x14ac:dyDescent="0.3">
      <c r="B4" s="86"/>
      <c r="C4" s="86"/>
      <c r="D4" s="86"/>
      <c r="E4" s="86"/>
      <c r="F4" s="86"/>
      <c r="G4" s="3"/>
      <c r="H4" s="7"/>
    </row>
    <row r="5" spans="2:25" ht="21" customHeight="1" x14ac:dyDescent="0.3">
      <c r="C5" s="66"/>
      <c r="D5" s="66"/>
      <c r="G5" s="72">
        <v>2020</v>
      </c>
      <c r="H5" s="76">
        <v>10.5</v>
      </c>
    </row>
    <row r="6" spans="2:25" ht="21" customHeight="1" x14ac:dyDescent="0.3">
      <c r="B6" s="11"/>
      <c r="C6" s="11"/>
      <c r="D6" s="73"/>
      <c r="E6" s="11"/>
      <c r="F6" s="11"/>
      <c r="G6" s="72">
        <v>2021</v>
      </c>
      <c r="H6" s="77">
        <f>G20</f>
        <v>44.470160386116611</v>
      </c>
      <c r="I6" s="1"/>
      <c r="J6" s="1"/>
      <c r="K6" s="1"/>
    </row>
    <row r="7" spans="2:25" ht="3.6" customHeight="1" x14ac:dyDescent="0.3">
      <c r="B7" s="11"/>
      <c r="C7" s="11"/>
      <c r="D7" s="11"/>
      <c r="E7" s="11"/>
      <c r="F7" s="11"/>
      <c r="G7" s="9"/>
      <c r="H7" s="10"/>
      <c r="I7" s="1"/>
      <c r="J7" s="1"/>
      <c r="K7" s="1"/>
    </row>
    <row r="8" spans="2:25" ht="30.6" customHeight="1" x14ac:dyDescent="0.3">
      <c r="B8" s="12" t="s">
        <v>81</v>
      </c>
      <c r="C8" s="12" t="s">
        <v>134</v>
      </c>
      <c r="D8" s="12" t="s">
        <v>144</v>
      </c>
      <c r="E8" s="17" t="s">
        <v>136</v>
      </c>
      <c r="F8" s="74"/>
      <c r="G8" s="16" t="s">
        <v>137</v>
      </c>
      <c r="H8" s="8" t="s">
        <v>138</v>
      </c>
    </row>
    <row r="9" spans="2:25" ht="21" customHeight="1" x14ac:dyDescent="0.3">
      <c r="B9" s="13" t="s">
        <v>107</v>
      </c>
      <c r="C9" s="15">
        <f>IFERROR(VLOOKUP(B9,Tablo!C5:E18,2,0),0)</f>
        <v>14521</v>
      </c>
      <c r="D9" s="15">
        <f>IFERROR(VLOOKUP(B9,Tablo!C5:G18,5,0),0)</f>
        <v>6566.4273333333331</v>
      </c>
      <c r="E9" s="70">
        <f>(C9-D9)/C9*100</f>
        <v>54.779785597869754</v>
      </c>
      <c r="F9" s="75">
        <f>SUM(C9)-SUM(D9)</f>
        <v>7954.5726666666669</v>
      </c>
      <c r="G9" s="71">
        <f>F9/SUM(C9)*100</f>
        <v>54.779785597869754</v>
      </c>
      <c r="H9" s="68">
        <v>10</v>
      </c>
    </row>
    <row r="10" spans="2:25" ht="21" customHeight="1" x14ac:dyDescent="0.3">
      <c r="B10" s="13" t="s">
        <v>109</v>
      </c>
      <c r="C10" s="15">
        <f>IFERROR(VLOOKUP(B10,Tablo!C6:E19,2,0),0)</f>
        <v>16597.5</v>
      </c>
      <c r="D10" s="15">
        <f>IFERROR(VLOOKUP(B10,Tablo!C6:G19,5,0),0)</f>
        <v>9914.1866666666683</v>
      </c>
      <c r="E10" s="70">
        <f t="shared" ref="E10:E20" si="0">(C10-D10)/C10*100</f>
        <v>40.266988000200826</v>
      </c>
      <c r="F10" s="75">
        <f>SUM($C$9:C10)-SUM($D$9:D10)</f>
        <v>14637.885999999999</v>
      </c>
      <c r="G10" s="71">
        <f>F10/SUM($C$9:C10)*100</f>
        <v>47.039176052830307</v>
      </c>
      <c r="H10" s="69">
        <f>$H$9</f>
        <v>10</v>
      </c>
    </row>
    <row r="11" spans="2:25" ht="21" customHeight="1" x14ac:dyDescent="0.3">
      <c r="B11" s="13" t="s">
        <v>110</v>
      </c>
      <c r="C11" s="15">
        <f>IFERROR(VLOOKUP(B11,Tablo!C7:E20,2,0),0)</f>
        <v>18605.5</v>
      </c>
      <c r="D11" s="15">
        <f>IFERROR(VLOOKUP(B11,Tablo!C7:G20,5,0),0)</f>
        <v>12341.315666666667</v>
      </c>
      <c r="E11" s="70">
        <f t="shared" si="0"/>
        <v>33.668454668422413</v>
      </c>
      <c r="F11" s="75">
        <f>SUM($C$9:C11)-SUM($D$9:D11)</f>
        <v>20902.070333333329</v>
      </c>
      <c r="G11" s="71">
        <f>F11/SUM($C$9:C11)*100</f>
        <v>42.036180382377381</v>
      </c>
      <c r="H11" s="69">
        <f t="shared" ref="H11:H18" si="1">$H$9</f>
        <v>10</v>
      </c>
    </row>
    <row r="12" spans="2:25" ht="21" customHeight="1" x14ac:dyDescent="0.3">
      <c r="B12" s="13" t="s">
        <v>111</v>
      </c>
      <c r="C12" s="15">
        <f>IFERROR(VLOOKUP(B12,Tablo!C8:E21,2,0),0)</f>
        <v>17204</v>
      </c>
      <c r="D12" s="15">
        <f>IFERROR(VLOOKUP(B12,Tablo!C8:G21,5,0),0)</f>
        <v>10447.221333333335</v>
      </c>
      <c r="E12" s="70">
        <f t="shared" si="0"/>
        <v>39.274463303107801</v>
      </c>
      <c r="F12" s="75">
        <f>SUM($C$9:C12)-SUM($D$9:D12)</f>
        <v>27658.848999999995</v>
      </c>
      <c r="G12" s="71">
        <f>F12/SUM($C$9:C12)*100</f>
        <v>41.326274503944525</v>
      </c>
      <c r="H12" s="69">
        <f t="shared" si="1"/>
        <v>10</v>
      </c>
    </row>
    <row r="13" spans="2:25" ht="21" customHeight="1" x14ac:dyDescent="0.3">
      <c r="B13" s="13" t="s">
        <v>112</v>
      </c>
      <c r="C13" s="15">
        <f>IFERROR(VLOOKUP(B13,Tablo!C9:E22,2,0),0)</f>
        <v>15618.5</v>
      </c>
      <c r="D13" s="15">
        <f>IFERROR(VLOOKUP(B13,Tablo!C9:G22,5,0),0)</f>
        <v>8687.3066666666673</v>
      </c>
      <c r="E13" s="70">
        <f t="shared" si="0"/>
        <v>44.378098622360227</v>
      </c>
      <c r="F13" s="75">
        <f>SUM($C$9:C13)-SUM($D$9:D13)</f>
        <v>34590.042333333331</v>
      </c>
      <c r="G13" s="71">
        <f>F13/SUM($C$9:C13)*100</f>
        <v>41.90370558816344</v>
      </c>
      <c r="H13" s="69">
        <f t="shared" si="1"/>
        <v>10</v>
      </c>
    </row>
    <row r="14" spans="2:25" ht="21" customHeight="1" x14ac:dyDescent="0.3">
      <c r="B14" s="13" t="s">
        <v>113</v>
      </c>
      <c r="C14" s="15">
        <f>IFERROR(VLOOKUP(B14,Tablo!C10:E23,2,0),0)</f>
        <v>17672</v>
      </c>
      <c r="D14" s="15">
        <f>IFERROR(VLOOKUP(B14,Tablo!C10:G23,5,0),0)</f>
        <v>10885.814</v>
      </c>
      <c r="E14" s="70">
        <f t="shared" si="0"/>
        <v>38.400780896333181</v>
      </c>
      <c r="F14" s="75">
        <f>SUM($C$9:C14)-SUM($D$9:D14)</f>
        <v>41376.228333333333</v>
      </c>
      <c r="G14" s="71">
        <f>F14/SUM($C$9:C14)*100</f>
        <v>41.286018383166109</v>
      </c>
      <c r="H14" s="69">
        <f t="shared" si="1"/>
        <v>10</v>
      </c>
    </row>
    <row r="15" spans="2:25" ht="21" customHeight="1" x14ac:dyDescent="0.3">
      <c r="B15" s="13" t="s">
        <v>114</v>
      </c>
      <c r="C15" s="15">
        <f>IFERROR(VLOOKUP(B15,Tablo!C11:E24,2,0),0)</f>
        <v>17776</v>
      </c>
      <c r="D15" s="15">
        <f>IFERROR(VLOOKUP(B15,Tablo!C11:G24,5,0),0)</f>
        <v>7515.7116666666661</v>
      </c>
      <c r="E15" s="70">
        <f t="shared" si="0"/>
        <v>57.719893864386442</v>
      </c>
      <c r="F15" s="75">
        <f>SUM($C$9:C15)-SUM($D$9:D15)</f>
        <v>51636.516666666663</v>
      </c>
      <c r="G15" s="71">
        <f>F15/SUM($C$9:C15)*100</f>
        <v>43.761799631903742</v>
      </c>
      <c r="H15" s="69">
        <f t="shared" si="1"/>
        <v>10</v>
      </c>
    </row>
    <row r="16" spans="2:25" ht="21" customHeight="1" x14ac:dyDescent="0.3">
      <c r="B16" s="13" t="s">
        <v>115</v>
      </c>
      <c r="C16" s="15">
        <f>IFERROR(VLOOKUP(B16,Tablo!C12:E25,2,0),0)</f>
        <v>22281</v>
      </c>
      <c r="D16" s="15">
        <f>IFERROR(VLOOKUP(B16,Tablo!C12:G25,5,0),0)</f>
        <v>10455.298333333332</v>
      </c>
      <c r="E16" s="70">
        <f t="shared" si="0"/>
        <v>53.075273401852108</v>
      </c>
      <c r="F16" s="75">
        <f>SUM($C$9:C16)-SUM($D$9:D16)</f>
        <v>63462.218333333323</v>
      </c>
      <c r="G16" s="71">
        <f>F16/SUM($C$9:C16)*100</f>
        <v>45.241127875739757</v>
      </c>
      <c r="H16" s="69">
        <f t="shared" si="1"/>
        <v>10</v>
      </c>
    </row>
    <row r="17" spans="2:11" ht="21" customHeight="1" x14ac:dyDescent="0.3">
      <c r="B17" s="13" t="s">
        <v>116</v>
      </c>
      <c r="C17" s="15">
        <f>IFERROR(VLOOKUP(B17,Tablo!C13:E26,2,0),0)</f>
        <v>22197</v>
      </c>
      <c r="D17" s="15">
        <f>IFERROR(VLOOKUP(B17,Tablo!C13:G26,5,0),0)</f>
        <v>13407.437</v>
      </c>
      <c r="E17" s="70">
        <f t="shared" si="0"/>
        <v>39.597977204126686</v>
      </c>
      <c r="F17" s="75">
        <f>SUM($C$9:C17)-SUM($D$9:D17)</f>
        <v>72251.781333333318</v>
      </c>
      <c r="G17" s="71">
        <f>F17/SUM($C$9:C17)*100</f>
        <v>44.470160386116611</v>
      </c>
      <c r="H17" s="69">
        <f t="shared" si="1"/>
        <v>10</v>
      </c>
    </row>
    <row r="18" spans="2:11" ht="21" customHeight="1" x14ac:dyDescent="0.3">
      <c r="B18" s="13" t="s">
        <v>117</v>
      </c>
      <c r="C18" s="15">
        <f>IFERROR(VLOOKUP(B18,Tablo!C14:E27,2,0),0)</f>
        <v>0</v>
      </c>
      <c r="D18" s="15">
        <f>IFERROR(VLOOKUP(B18,Tablo!C14:G27,5,0),0)</f>
        <v>0</v>
      </c>
      <c r="E18" s="70" t="e">
        <f t="shared" si="0"/>
        <v>#DIV/0!</v>
      </c>
      <c r="F18" s="75">
        <f>SUM($C$9:C18)-SUM($D$9:D18)</f>
        <v>72251.781333333318</v>
      </c>
      <c r="G18" s="71">
        <f>F18/SUM($C$9:C18)*100</f>
        <v>44.470160386116611</v>
      </c>
      <c r="H18" s="69">
        <f t="shared" si="1"/>
        <v>10</v>
      </c>
    </row>
    <row r="19" spans="2:11" ht="21" customHeight="1" x14ac:dyDescent="0.3">
      <c r="B19" s="13" t="s">
        <v>118</v>
      </c>
      <c r="C19" s="15">
        <f>IFERROR(VLOOKUP(B19,Tablo!C15:E28,2,0),0)</f>
        <v>0</v>
      </c>
      <c r="D19" s="15">
        <f>IFERROR(VLOOKUP(B19,Tablo!C15:G28,5,0),0)</f>
        <v>0</v>
      </c>
      <c r="E19" s="70" t="e">
        <f t="shared" si="0"/>
        <v>#DIV/0!</v>
      </c>
      <c r="F19" s="75">
        <f>SUM($C$9:C19)-SUM($D$9:D19)</f>
        <v>72251.781333333318</v>
      </c>
      <c r="G19" s="71">
        <f>F19/SUM($C$9:C19)*100</f>
        <v>44.470160386116611</v>
      </c>
      <c r="H19" s="69">
        <f>$H$9</f>
        <v>10</v>
      </c>
    </row>
    <row r="20" spans="2:11" ht="21" customHeight="1" x14ac:dyDescent="0.3">
      <c r="B20" s="13" t="s">
        <v>119</v>
      </c>
      <c r="C20" s="15">
        <f>IFERROR(VLOOKUP(B20,Tablo!C16:E29,2,0),0)</f>
        <v>0</v>
      </c>
      <c r="D20" s="15">
        <f>IFERROR(VLOOKUP(B20,Tablo!C16:G29,5,0),0)</f>
        <v>0</v>
      </c>
      <c r="E20" s="70" t="e">
        <f t="shared" si="0"/>
        <v>#DIV/0!</v>
      </c>
      <c r="F20" s="75">
        <f>SUM($C$9:C20)-SUM($D$9:D20)</f>
        <v>72251.781333333318</v>
      </c>
      <c r="G20" s="71">
        <f>F20/SUM($C$9:C20)*100</f>
        <v>44.470160386116611</v>
      </c>
      <c r="H20" s="69">
        <f>$H$9</f>
        <v>10</v>
      </c>
    </row>
    <row r="21" spans="2:11" ht="4.2" customHeight="1" x14ac:dyDescent="0.3"/>
    <row r="22" spans="2:11" ht="13.2" customHeight="1" x14ac:dyDescent="0.3">
      <c r="B22" s="548" t="s">
        <v>145</v>
      </c>
      <c r="C22" s="548"/>
      <c r="D22" s="548"/>
      <c r="E22" s="548"/>
      <c r="F22" s="548"/>
      <c r="G22" s="548"/>
      <c r="H22" s="23"/>
    </row>
    <row r="23" spans="2:11" ht="18" customHeight="1" x14ac:dyDescent="0.3">
      <c r="B23" s="548"/>
      <c r="C23" s="548"/>
      <c r="D23" s="548"/>
      <c r="E23" s="548"/>
      <c r="F23" s="548"/>
      <c r="G23" s="548"/>
      <c r="H23" s="23"/>
    </row>
    <row r="24" spans="2:11" ht="18" customHeight="1" x14ac:dyDescent="0.3"/>
    <row r="25" spans="2:11" ht="18" customHeight="1" x14ac:dyDescent="0.3"/>
    <row r="26" spans="2:11" ht="18" customHeight="1" x14ac:dyDescent="0.3"/>
    <row r="27" spans="2:11" ht="18" customHeight="1" x14ac:dyDescent="0.3"/>
    <row r="28" spans="2:11" ht="18" customHeight="1" x14ac:dyDescent="0.3"/>
    <row r="29" spans="2:11" ht="17.399999999999999" customHeight="1" x14ac:dyDescent="0.3"/>
    <row r="30" spans="2:11" ht="9" customHeight="1" x14ac:dyDescent="0.3">
      <c r="I30" s="6"/>
      <c r="J30" s="6"/>
      <c r="K30" s="6"/>
    </row>
    <row r="31" spans="2:11" ht="9" customHeight="1" x14ac:dyDescent="0.3">
      <c r="I31" s="2"/>
      <c r="J31" s="2"/>
      <c r="K31" s="2"/>
    </row>
    <row r="32" spans="2:11" ht="17.399999999999999" customHeight="1" x14ac:dyDescent="0.3"/>
    <row r="33" spans="12:12" ht="17.399999999999999" customHeight="1" x14ac:dyDescent="0.3"/>
    <row r="34" spans="12:12" ht="17.399999999999999" customHeight="1" x14ac:dyDescent="0.3"/>
    <row r="35" spans="12:12" ht="17.399999999999999" customHeight="1" x14ac:dyDescent="0.3"/>
    <row r="36" spans="12:12" x14ac:dyDescent="0.3">
      <c r="L36" s="5"/>
    </row>
  </sheetData>
  <sheetProtection autoFilter="0" pivotTables="0"/>
  <protectedRanges>
    <protectedRange sqref="B2:H3 G5:G6 H5 H9 B22" name="Aralık1_1_2_1"/>
  </protectedRanges>
  <mergeCells count="7">
    <mergeCell ref="B22:G23"/>
    <mergeCell ref="B2:H2"/>
    <mergeCell ref="I2:M2"/>
    <mergeCell ref="N2:O2"/>
    <mergeCell ref="Q2:R2"/>
    <mergeCell ref="B3:H3"/>
    <mergeCell ref="K3:V3"/>
  </mergeCells>
  <dataValidations count="5">
    <dataValidation allowBlank="1" showInputMessage="1" showErrorMessage="1" promptTitle="Dönem" prompt="Çeyrek" sqref="E8:F8" xr:uid="{00000000-0002-0000-0700-000000000000}"/>
    <dataValidation allowBlank="1" showInputMessage="1" showErrorMessage="1" promptTitle="Kümülatif" prompt="Sene başından bugüne kadar olan değer" sqref="G8" xr:uid="{00000000-0002-0000-0700-000001000000}"/>
    <dataValidation type="list" allowBlank="1" showInputMessage="1" showErrorMessage="1" sqref="P2" xr:uid="{00000000-0002-0000-0700-000002000000}">
      <formula1>"-,+,="</formula1>
    </dataValidation>
    <dataValidation type="list" allowBlank="1" showInputMessage="1" showErrorMessage="1" sqref="N2:O2" xr:uid="{00000000-0002-0000-0700-000003000000}">
      <formula1>"Azalması İyi,Artması İyi,Dengeleme"</formula1>
    </dataValidation>
    <dataValidation allowBlank="1" showInputMessage="1" showErrorMessage="1" promptTitle="HEDEF" prompt="Hedef değeri güncelleyiniz." sqref="H8" xr:uid="{00000000-0002-0000-0700-000004000000}"/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 differentFirst="1">
    <oddFooter>&amp;LG05002   R02&amp;R&amp;P / &amp;N&amp;C&amp;"verdana,Regular"&amp;8Kurum İçi | Internal \  Kişisel Veri İçermez | Contains No Personal Data</oddFooter>
    <firstFooter>&amp;LG05002   R02&amp;CHizmete Özel&amp;R&amp;P / &amp;N</firstFoot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ayfa9">
    <tabColor rgb="FFFFFF00"/>
  </sheetPr>
  <dimension ref="B3:S25"/>
  <sheetViews>
    <sheetView showGridLines="0" zoomScale="40" zoomScaleNormal="40" workbookViewId="0">
      <selection activeCell="M12" sqref="M12"/>
    </sheetView>
  </sheetViews>
  <sheetFormatPr defaultColWidth="8.88671875" defaultRowHeight="13.95" customHeight="1" x14ac:dyDescent="0.3"/>
  <cols>
    <col min="1" max="1" width="1.5546875" style="80" customWidth="1"/>
    <col min="2" max="2" width="31.21875" style="80" bestFit="1" customWidth="1"/>
    <col min="3" max="3" width="6.33203125" style="80" bestFit="1" customWidth="1"/>
    <col min="4" max="4" width="6" style="80" bestFit="1" customWidth="1"/>
    <col min="5" max="5" width="5.33203125" style="80" bestFit="1" customWidth="1"/>
    <col min="6" max="6" width="6.109375" style="80" bestFit="1" customWidth="1"/>
    <col min="7" max="7" width="6.33203125" style="80" bestFit="1" customWidth="1"/>
    <col min="8" max="8" width="7.88671875" style="80" bestFit="1" customWidth="1"/>
    <col min="9" max="9" width="8" style="80" bestFit="1" customWidth="1"/>
    <col min="10" max="10" width="7.88671875" style="80" bestFit="1" customWidth="1"/>
    <col min="11" max="11" width="5.33203125" style="80" bestFit="1" customWidth="1"/>
    <col min="12" max="14" width="8.5546875" style="80" bestFit="1" customWidth="1"/>
    <col min="15" max="15" width="13" style="80" bestFit="1" customWidth="1"/>
    <col min="16" max="16" width="5.88671875" style="80" customWidth="1"/>
    <col min="17" max="17" width="1.33203125" style="80" customWidth="1"/>
    <col min="18" max="16384" width="8.88671875" style="80"/>
  </cols>
  <sheetData>
    <row r="3" spans="2:19" ht="13.95" customHeight="1" x14ac:dyDescent="0.3">
      <c r="B3" s="79" t="s">
        <v>146</v>
      </c>
      <c r="C3" s="79" t="s">
        <v>147</v>
      </c>
    </row>
    <row r="4" spans="2:19" ht="13.95" customHeight="1" x14ac:dyDescent="0.3">
      <c r="B4" s="79" t="s">
        <v>84</v>
      </c>
      <c r="C4" s="80" t="s">
        <v>107</v>
      </c>
      <c r="D4" s="80" t="s">
        <v>109</v>
      </c>
      <c r="E4" s="80" t="s">
        <v>110</v>
      </c>
      <c r="F4" s="80" t="s">
        <v>111</v>
      </c>
      <c r="G4" s="80" t="s">
        <v>112</v>
      </c>
      <c r="H4" s="80" t="s">
        <v>113</v>
      </c>
      <c r="I4" s="80" t="s">
        <v>114</v>
      </c>
      <c r="J4" s="80" t="s">
        <v>115</v>
      </c>
      <c r="K4" s="80" t="s">
        <v>116</v>
      </c>
      <c r="L4" s="80" t="s">
        <v>117</v>
      </c>
      <c r="M4" s="80" t="s">
        <v>118</v>
      </c>
      <c r="N4" s="80" t="s">
        <v>119</v>
      </c>
      <c r="O4" s="80" t="s">
        <v>128</v>
      </c>
    </row>
    <row r="5" spans="2:19" ht="25.2" customHeight="1" x14ac:dyDescent="0.3">
      <c r="B5" s="81" t="s">
        <v>5</v>
      </c>
      <c r="C5" s="82">
        <v>52.952490617536675</v>
      </c>
      <c r="D5" s="82">
        <v>79.785014449848461</v>
      </c>
      <c r="E5" s="82">
        <v>77.429161138139463</v>
      </c>
      <c r="F5" s="82">
        <v>73.488348934475198</v>
      </c>
      <c r="G5" s="82">
        <v>74.527780805988584</v>
      </c>
      <c r="H5" s="82">
        <v>60.857701392848419</v>
      </c>
      <c r="I5" s="82">
        <v>63.761332728921126</v>
      </c>
      <c r="J5" s="82">
        <v>67.306283460129606</v>
      </c>
      <c r="K5" s="82">
        <v>79.102765762223086</v>
      </c>
      <c r="L5" s="82" t="e">
        <v>#DIV/0!</v>
      </c>
      <c r="M5" s="82" t="e">
        <v>#DIV/0!</v>
      </c>
      <c r="N5" s="82" t="e">
        <v>#DIV/0!</v>
      </c>
      <c r="O5" s="82" t="e">
        <v>#DIV/0!</v>
      </c>
      <c r="R5" s="80" t="s">
        <v>5</v>
      </c>
      <c r="S5" s="144">
        <f>AVERAGE(C5:E5)/100*1</f>
        <v>0.70055555401841541</v>
      </c>
    </row>
    <row r="6" spans="2:19" ht="25.2" customHeight="1" x14ac:dyDescent="0.3">
      <c r="B6" s="81" t="s">
        <v>9</v>
      </c>
      <c r="C6" s="82">
        <v>80.944046671970298</v>
      </c>
      <c r="D6" s="82">
        <v>84.646389916426912</v>
      </c>
      <c r="E6" s="82">
        <v>83.987060886389756</v>
      </c>
      <c r="F6" s="82">
        <v>71.824061510628681</v>
      </c>
      <c r="G6" s="82">
        <v>79.886890951276101</v>
      </c>
      <c r="H6" s="82">
        <v>83.737519075648578</v>
      </c>
      <c r="I6" s="82">
        <v>73.47481462541549</v>
      </c>
      <c r="J6" s="82">
        <v>50.759494508402803</v>
      </c>
      <c r="K6" s="82">
        <v>67.148558601134482</v>
      </c>
      <c r="L6" s="82" t="e">
        <v>#DIV/0!</v>
      </c>
      <c r="M6" s="82" t="e">
        <v>#DIV/0!</v>
      </c>
      <c r="N6" s="82" t="e">
        <v>#DIV/0!</v>
      </c>
      <c r="O6" s="82" t="e">
        <v>#DIV/0!</v>
      </c>
      <c r="R6" s="80" t="s">
        <v>9</v>
      </c>
      <c r="S6" s="144">
        <f t="shared" ref="S6:S18" si="0">AVERAGE(C6:E6)/100*1</f>
        <v>0.83192499158262323</v>
      </c>
    </row>
    <row r="7" spans="2:19" ht="25.2" customHeight="1" x14ac:dyDescent="0.3">
      <c r="B7" s="81" t="s">
        <v>13</v>
      </c>
      <c r="C7" s="82">
        <v>83.105408906159269</v>
      </c>
      <c r="D7" s="82">
        <v>85.762968242654622</v>
      </c>
      <c r="E7" s="82">
        <v>80.408618953363202</v>
      </c>
      <c r="F7" s="82">
        <v>99.984799391975685</v>
      </c>
      <c r="G7" s="82">
        <v>97.495183044315993</v>
      </c>
      <c r="H7" s="82">
        <v>84.639733223699238</v>
      </c>
      <c r="I7" s="82">
        <v>59.98376616763418</v>
      </c>
      <c r="J7" s="82">
        <v>64.351665703832083</v>
      </c>
      <c r="K7" s="82">
        <v>76.996462209970133</v>
      </c>
      <c r="L7" s="82" t="e">
        <v>#DIV/0!</v>
      </c>
      <c r="M7" s="82" t="e">
        <v>#DIV/0!</v>
      </c>
      <c r="N7" s="82" t="e">
        <v>#DIV/0!</v>
      </c>
      <c r="O7" s="82" t="e">
        <v>#DIV/0!</v>
      </c>
      <c r="R7" s="80" t="s">
        <v>13</v>
      </c>
      <c r="S7" s="144">
        <f t="shared" si="0"/>
        <v>0.83092332034059024</v>
      </c>
    </row>
    <row r="8" spans="2:19" ht="25.2" customHeight="1" x14ac:dyDescent="0.3">
      <c r="B8" s="81" t="s">
        <v>17</v>
      </c>
      <c r="C8" s="82">
        <v>64.24691257938116</v>
      </c>
      <c r="D8" s="82">
        <v>70.098256501182036</v>
      </c>
      <c r="E8" s="82">
        <v>66.819354552314991</v>
      </c>
      <c r="F8" s="82">
        <v>78.338441845580974</v>
      </c>
      <c r="G8" s="82">
        <v>60.619989624762241</v>
      </c>
      <c r="H8" s="82">
        <v>52.900971922246207</v>
      </c>
      <c r="I8" s="82">
        <v>48.152429378531075</v>
      </c>
      <c r="J8" s="82">
        <v>57.393957603071286</v>
      </c>
      <c r="K8" s="82">
        <v>70.980008790104861</v>
      </c>
      <c r="L8" s="82" t="e">
        <v>#DIV/0!</v>
      </c>
      <c r="M8" s="82" t="e">
        <v>#DIV/0!</v>
      </c>
      <c r="N8" s="82" t="e">
        <v>#DIV/0!</v>
      </c>
      <c r="O8" s="82" t="e">
        <v>#DIV/0!</v>
      </c>
      <c r="R8" s="80" t="s">
        <v>17</v>
      </c>
      <c r="S8" s="144">
        <f t="shared" si="0"/>
        <v>0.67054841210959393</v>
      </c>
    </row>
    <row r="9" spans="2:19" ht="25.2" customHeight="1" x14ac:dyDescent="0.3">
      <c r="B9" s="81" t="s">
        <v>46</v>
      </c>
      <c r="C9" s="82">
        <v>97.64089889697469</v>
      </c>
      <c r="D9" s="82">
        <v>90.728647686832744</v>
      </c>
      <c r="E9" s="82">
        <v>77.439188733912815</v>
      </c>
      <c r="F9" s="82">
        <v>100.38393388661275</v>
      </c>
      <c r="G9" s="82">
        <v>98.086645550219657</v>
      </c>
      <c r="H9" s="82">
        <v>85.087824508798235</v>
      </c>
      <c r="I9" s="82">
        <v>85.137357621939117</v>
      </c>
      <c r="J9" s="82">
        <v>77.451474514745144</v>
      </c>
      <c r="K9" s="82">
        <v>93.09987307497039</v>
      </c>
      <c r="L9" s="82" t="e">
        <v>#DIV/0!</v>
      </c>
      <c r="M9" s="82" t="e">
        <v>#DIV/0!</v>
      </c>
      <c r="N9" s="82" t="e">
        <v>#DIV/0!</v>
      </c>
      <c r="O9" s="82" t="e">
        <v>#DIV/0!</v>
      </c>
      <c r="R9" s="80" t="s">
        <v>46</v>
      </c>
      <c r="S9" s="144">
        <f t="shared" si="0"/>
        <v>0.88602911772573423</v>
      </c>
    </row>
    <row r="10" spans="2:19" ht="25.2" customHeight="1" x14ac:dyDescent="0.3">
      <c r="B10" s="81" t="s">
        <v>26</v>
      </c>
      <c r="C10" s="82">
        <v>54.131859248692351</v>
      </c>
      <c r="D10" s="82">
        <v>77.88767507002801</v>
      </c>
      <c r="E10" s="82">
        <v>66.637263380417011</v>
      </c>
      <c r="F10" s="82">
        <v>63.034115288220548</v>
      </c>
      <c r="G10" s="82">
        <v>34.504260651629068</v>
      </c>
      <c r="H10" s="82">
        <v>70.450042213523673</v>
      </c>
      <c r="I10" s="82">
        <v>45.637078381946942</v>
      </c>
      <c r="J10" s="82">
        <v>46.102711610486907</v>
      </c>
      <c r="K10" s="82">
        <v>68.481215277777778</v>
      </c>
      <c r="L10" s="82" t="e">
        <v>#DIV/0!</v>
      </c>
      <c r="M10" s="82" t="e">
        <v>#DIV/0!</v>
      </c>
      <c r="N10" s="82" t="e">
        <v>#DIV/0!</v>
      </c>
      <c r="O10" s="82" t="e">
        <v>#DIV/0!</v>
      </c>
      <c r="R10" s="80" t="s">
        <v>26</v>
      </c>
      <c r="S10" s="144">
        <f t="shared" si="0"/>
        <v>0.66218932566379118</v>
      </c>
    </row>
    <row r="11" spans="2:19" ht="25.2" customHeight="1" x14ac:dyDescent="0.3">
      <c r="B11" s="81" t="s">
        <v>29</v>
      </c>
      <c r="C11" s="82">
        <v>67.578628722382334</v>
      </c>
      <c r="D11" s="82">
        <v>109.64919478451279</v>
      </c>
      <c r="E11" s="82">
        <v>86.614860360360353</v>
      </c>
      <c r="F11" s="82">
        <v>82.776084595598704</v>
      </c>
      <c r="G11" s="82">
        <v>43.930726363419865</v>
      </c>
      <c r="H11" s="82">
        <v>67.481339619817376</v>
      </c>
      <c r="I11" s="82">
        <v>45.661204294217704</v>
      </c>
      <c r="J11" s="82">
        <v>73.078399098083452</v>
      </c>
      <c r="K11" s="82">
        <v>90.153043220840672</v>
      </c>
      <c r="L11" s="82" t="e">
        <v>#DIV/0!</v>
      </c>
      <c r="M11" s="82" t="e">
        <v>#DIV/0!</v>
      </c>
      <c r="N11" s="82" t="e">
        <v>#DIV/0!</v>
      </c>
      <c r="O11" s="82" t="e">
        <v>#DIV/0!</v>
      </c>
      <c r="R11" s="80" t="s">
        <v>29</v>
      </c>
      <c r="S11" s="144">
        <f t="shared" si="0"/>
        <v>0.87947561289085163</v>
      </c>
    </row>
    <row r="12" spans="2:19" ht="25.2" customHeight="1" x14ac:dyDescent="0.3">
      <c r="B12" s="81" t="s">
        <v>43</v>
      </c>
      <c r="C12" s="82">
        <v>73.8378263378047</v>
      </c>
      <c r="D12" s="82">
        <v>98.642023127876939</v>
      </c>
      <c r="E12" s="82">
        <v>97.783584271305372</v>
      </c>
      <c r="F12" s="82">
        <v>84.234381213391387</v>
      </c>
      <c r="G12" s="82">
        <v>73.861426879810523</v>
      </c>
      <c r="H12" s="82">
        <v>76.030933791380406</v>
      </c>
      <c r="I12" s="82">
        <v>70.057951040231018</v>
      </c>
      <c r="J12" s="82">
        <v>65.805974000198432</v>
      </c>
      <c r="K12" s="82">
        <v>67.561698537682773</v>
      </c>
      <c r="L12" s="82" t="e">
        <v>#DIV/0!</v>
      </c>
      <c r="M12" s="82" t="e">
        <v>#DIV/0!</v>
      </c>
      <c r="N12" s="82" t="e">
        <v>#DIV/0!</v>
      </c>
      <c r="O12" s="82" t="e">
        <v>#DIV/0!</v>
      </c>
      <c r="R12" s="80" t="s">
        <v>43</v>
      </c>
      <c r="S12" s="144">
        <f t="shared" si="0"/>
        <v>0.90087811245662341</v>
      </c>
    </row>
    <row r="13" spans="2:19" ht="25.2" customHeight="1" x14ac:dyDescent="0.3">
      <c r="B13" s="81" t="s">
        <v>32</v>
      </c>
      <c r="C13" s="82">
        <v>8.035573749682662</v>
      </c>
      <c r="D13" s="82">
        <v>89.542971147943533</v>
      </c>
      <c r="E13" s="82">
        <v>76.197239383313843</v>
      </c>
      <c r="F13" s="82">
        <v>71.286313581541691</v>
      </c>
      <c r="G13" s="82">
        <v>15.297611894307062</v>
      </c>
      <c r="H13" s="82"/>
      <c r="I13" s="82"/>
      <c r="J13" s="82"/>
      <c r="K13" s="82"/>
      <c r="L13" s="82"/>
      <c r="M13" s="82"/>
      <c r="N13" s="82"/>
      <c r="O13" s="82">
        <v>52.071941951357758</v>
      </c>
      <c r="R13" s="80" t="s">
        <v>32</v>
      </c>
      <c r="S13" s="144">
        <f t="shared" si="0"/>
        <v>0.57925261426980013</v>
      </c>
    </row>
    <row r="14" spans="2:19" ht="25.2" customHeight="1" x14ac:dyDescent="0.3">
      <c r="B14" s="81" t="s">
        <v>40</v>
      </c>
      <c r="C14" s="82">
        <v>95.550671318321179</v>
      </c>
      <c r="D14" s="82">
        <v>62.379750778816202</v>
      </c>
      <c r="E14" s="82">
        <v>79.149066390041497</v>
      </c>
      <c r="F14" s="82">
        <v>56.376317280453257</v>
      </c>
      <c r="G14" s="82">
        <v>47.730862250262888</v>
      </c>
      <c r="H14" s="82">
        <v>60.760074873375899</v>
      </c>
      <c r="I14" s="82">
        <v>47.801907630522088</v>
      </c>
      <c r="J14" s="82">
        <v>66.977199814557238</v>
      </c>
      <c r="K14" s="82">
        <v>58.906319702602246</v>
      </c>
      <c r="L14" s="82" t="e">
        <v>#DIV/0!</v>
      </c>
      <c r="M14" s="82" t="e">
        <v>#DIV/0!</v>
      </c>
      <c r="N14" s="82" t="e">
        <v>#DIV/0!</v>
      </c>
      <c r="O14" s="82" t="e">
        <v>#DIV/0!</v>
      </c>
      <c r="R14" s="80" t="s">
        <v>40</v>
      </c>
      <c r="S14" s="144">
        <f t="shared" si="0"/>
        <v>0.79026496162392956</v>
      </c>
    </row>
    <row r="15" spans="2:19" ht="25.2" customHeight="1" x14ac:dyDescent="0.3">
      <c r="B15" s="81" t="s">
        <v>35</v>
      </c>
      <c r="C15" s="82">
        <v>78.584547932219465</v>
      </c>
      <c r="D15" s="82">
        <v>81.073380171740823</v>
      </c>
      <c r="E15" s="82">
        <v>88.229975614331266</v>
      </c>
      <c r="F15" s="82">
        <v>74.806238752249556</v>
      </c>
      <c r="G15" s="82">
        <v>91.037613488975353</v>
      </c>
      <c r="H15" s="82">
        <v>87.742538830609078</v>
      </c>
      <c r="I15" s="82">
        <v>59.706876665473494</v>
      </c>
      <c r="J15" s="82">
        <v>74.550960065548082</v>
      </c>
      <c r="K15" s="82">
        <v>85.048438010231848</v>
      </c>
      <c r="L15" s="82" t="e">
        <v>#DIV/0!</v>
      </c>
      <c r="M15" s="82" t="e">
        <v>#DIV/0!</v>
      </c>
      <c r="N15" s="82" t="e">
        <v>#DIV/0!</v>
      </c>
      <c r="O15" s="82" t="e">
        <v>#DIV/0!</v>
      </c>
      <c r="R15" s="80" t="s">
        <v>35</v>
      </c>
      <c r="S15" s="144">
        <f t="shared" si="0"/>
        <v>0.82629301239430519</v>
      </c>
    </row>
    <row r="16" spans="2:19" ht="25.2" customHeight="1" x14ac:dyDescent="0.3">
      <c r="B16" s="81" t="s">
        <v>25</v>
      </c>
      <c r="C16" s="82">
        <v>45.288586855334202</v>
      </c>
      <c r="D16" s="82">
        <v>60.930123678358243</v>
      </c>
      <c r="E16" s="82">
        <v>65.386416861826703</v>
      </c>
      <c r="F16" s="82">
        <v>61.090128755364802</v>
      </c>
      <c r="G16" s="82">
        <v>52.816376835148162</v>
      </c>
      <c r="H16" s="82">
        <v>57.907195598668018</v>
      </c>
      <c r="I16" s="82">
        <v>38.803384804541999</v>
      </c>
      <c r="J16" s="82">
        <v>43.474382733382008</v>
      </c>
      <c r="K16" s="82">
        <v>64.59933274980655</v>
      </c>
      <c r="L16" s="82" t="e">
        <v>#DIV/0!</v>
      </c>
      <c r="M16" s="82" t="e">
        <v>#DIV/0!</v>
      </c>
      <c r="N16" s="82" t="e">
        <v>#DIV/0!</v>
      </c>
      <c r="O16" s="82" t="e">
        <v>#DIV/0!</v>
      </c>
      <c r="R16" s="80" t="s">
        <v>25</v>
      </c>
      <c r="S16" s="144">
        <f t="shared" si="0"/>
        <v>0.57201709131839718</v>
      </c>
    </row>
    <row r="17" spans="2:19" ht="25.2" customHeight="1" x14ac:dyDescent="0.3">
      <c r="B17" s="81" t="s">
        <v>23</v>
      </c>
      <c r="C17" s="82">
        <v>46.693010752688167</v>
      </c>
      <c r="D17" s="82">
        <v>75.417691857059168</v>
      </c>
      <c r="E17" s="82">
        <v>78.858160919540225</v>
      </c>
      <c r="F17" s="82">
        <v>60.683757874554942</v>
      </c>
      <c r="G17" s="82">
        <v>74.791598173515993</v>
      </c>
      <c r="H17" s="82">
        <v>65.750468319559261</v>
      </c>
      <c r="I17" s="82">
        <v>47.833194905869284</v>
      </c>
      <c r="J17" s="82">
        <v>51.780446549391044</v>
      </c>
      <c r="K17" s="82">
        <v>67.693407613741925</v>
      </c>
      <c r="L17" s="82" t="e">
        <v>#DIV/0!</v>
      </c>
      <c r="M17" s="82" t="e">
        <v>#DIV/0!</v>
      </c>
      <c r="N17" s="82" t="e">
        <v>#DIV/0!</v>
      </c>
      <c r="O17" s="82" t="e">
        <v>#DIV/0!</v>
      </c>
      <c r="R17" s="80" t="s">
        <v>23</v>
      </c>
      <c r="S17" s="144">
        <f t="shared" si="0"/>
        <v>0.66989621176429182</v>
      </c>
    </row>
    <row r="18" spans="2:19" ht="25.2" customHeight="1" x14ac:dyDescent="0.3">
      <c r="B18" s="81" t="s">
        <v>20</v>
      </c>
      <c r="C18" s="82">
        <v>44.327199899862315</v>
      </c>
      <c r="D18" s="82">
        <v>47.179778113968737</v>
      </c>
      <c r="E18" s="82">
        <v>65.387739207832666</v>
      </c>
      <c r="F18" s="82">
        <v>58.858853060436381</v>
      </c>
      <c r="G18" s="82">
        <v>62.71875</v>
      </c>
      <c r="H18" s="82">
        <v>78.962739174219536</v>
      </c>
      <c r="I18" s="82">
        <v>57.353851757421239</v>
      </c>
      <c r="J18" s="82">
        <v>55.974632843791724</v>
      </c>
      <c r="K18" s="82">
        <v>49.263513816113573</v>
      </c>
      <c r="L18" s="82" t="e">
        <v>#DIV/0!</v>
      </c>
      <c r="M18" s="82" t="e">
        <v>#DIV/0!</v>
      </c>
      <c r="N18" s="82" t="e">
        <v>#DIV/0!</v>
      </c>
      <c r="O18" s="82" t="e">
        <v>#DIV/0!</v>
      </c>
      <c r="R18" s="80" t="s">
        <v>20</v>
      </c>
      <c r="S18" s="144">
        <f t="shared" si="0"/>
        <v>0.52298239073887909</v>
      </c>
    </row>
    <row r="19" spans="2:19" ht="13.95" hidden="1" customHeight="1" x14ac:dyDescent="0.3">
      <c r="B19" s="81" t="s">
        <v>19</v>
      </c>
      <c r="C19" s="82">
        <v>47.100060483870948</v>
      </c>
      <c r="D19" s="82">
        <v>59.212598425196852</v>
      </c>
      <c r="E19" s="82">
        <v>57.101509661835635</v>
      </c>
      <c r="F19" s="82">
        <v>63.269003769520374</v>
      </c>
      <c r="G19" s="82">
        <v>62.143808867447738</v>
      </c>
      <c r="H19" s="82">
        <v>83.860606060606074</v>
      </c>
      <c r="I19" s="82">
        <v>54.841583878834477</v>
      </c>
      <c r="J19" s="82">
        <v>64.451046020688253</v>
      </c>
      <c r="K19" s="82">
        <v>48.08884139825981</v>
      </c>
      <c r="L19" s="82" t="e">
        <v>#DIV/0!</v>
      </c>
      <c r="M19" s="82" t="e">
        <v>#DIV/0!</v>
      </c>
      <c r="N19" s="82" t="e">
        <v>#DIV/0!</v>
      </c>
      <c r="O19" s="82" t="e">
        <v>#DIV/0!</v>
      </c>
    </row>
    <row r="20" spans="2:19" ht="13.95" customHeight="1" x14ac:dyDescent="0.3">
      <c r="B20" s="81" t="s">
        <v>1015</v>
      </c>
      <c r="C20" s="82"/>
      <c r="D20" s="82"/>
      <c r="E20" s="82"/>
      <c r="F20" s="82"/>
      <c r="G20" s="82"/>
      <c r="H20" s="82">
        <v>31.226238286479248</v>
      </c>
      <c r="I20" s="82">
        <v>53.917581077785911</v>
      </c>
      <c r="J20" s="82"/>
      <c r="K20" s="82">
        <v>95.424227093872943</v>
      </c>
      <c r="L20" s="82" t="e">
        <v>#DIV/0!</v>
      </c>
      <c r="M20" s="82" t="e">
        <v>#DIV/0!</v>
      </c>
      <c r="N20" s="82" t="e">
        <v>#DIV/0!</v>
      </c>
      <c r="O20" s="82" t="e">
        <v>#DIV/0!</v>
      </c>
    </row>
    <row r="21" spans="2:19" ht="13.95" customHeight="1" x14ac:dyDescent="0.3">
      <c r="B21" s="81" t="s">
        <v>1016</v>
      </c>
      <c r="C21" s="82"/>
      <c r="D21" s="82"/>
      <c r="E21" s="82"/>
      <c r="F21" s="82"/>
      <c r="G21" s="82"/>
      <c r="H21" s="82">
        <v>14.278876826162712</v>
      </c>
      <c r="I21" s="82">
        <v>0.76569264069264076</v>
      </c>
      <c r="J21" s="82"/>
      <c r="K21" s="82">
        <v>42.591948470209338</v>
      </c>
      <c r="L21" s="82" t="e">
        <v>#DIV/0!</v>
      </c>
      <c r="M21" s="82" t="e">
        <v>#DIV/0!</v>
      </c>
      <c r="N21" s="82" t="e">
        <v>#DIV/0!</v>
      </c>
      <c r="O21" s="82" t="e">
        <v>#DIV/0!</v>
      </c>
    </row>
    <row r="22" spans="2:19" ht="13.95" customHeight="1" x14ac:dyDescent="0.3">
      <c r="B22" s="81" t="s">
        <v>1017</v>
      </c>
      <c r="C22" s="82"/>
      <c r="D22" s="82"/>
      <c r="E22" s="82"/>
      <c r="F22" s="82"/>
      <c r="G22" s="82"/>
      <c r="H22" s="82">
        <v>37.506326034063257</v>
      </c>
      <c r="I22" s="82">
        <v>3.5145888594164454</v>
      </c>
      <c r="J22" s="82"/>
      <c r="K22" s="82">
        <v>58.540183615819217</v>
      </c>
      <c r="L22" s="82" t="e">
        <v>#DIV/0!</v>
      </c>
      <c r="M22" s="82" t="e">
        <v>#DIV/0!</v>
      </c>
      <c r="N22" s="82" t="e">
        <v>#DIV/0!</v>
      </c>
      <c r="O22" s="82" t="e">
        <v>#DIV/0!</v>
      </c>
    </row>
    <row r="23" spans="2:19" ht="13.95" customHeight="1" x14ac:dyDescent="0.3">
      <c r="B23" s="81" t="s">
        <v>1014</v>
      </c>
      <c r="C23" s="82"/>
      <c r="D23" s="82"/>
      <c r="E23" s="82"/>
      <c r="F23" s="82"/>
      <c r="G23" s="82"/>
      <c r="H23" s="82">
        <v>46.666585079802147</v>
      </c>
      <c r="I23" s="82">
        <v>81.911420665967</v>
      </c>
      <c r="J23" s="82">
        <v>97.927540650406513</v>
      </c>
      <c r="K23" s="82">
        <v>84.544701157571438</v>
      </c>
      <c r="L23" s="82" t="e">
        <v>#DIV/0!</v>
      </c>
      <c r="M23" s="82" t="e">
        <v>#DIV/0!</v>
      </c>
      <c r="N23" s="82" t="e">
        <v>#DIV/0!</v>
      </c>
      <c r="O23" s="82" t="e">
        <v>#DIV/0!</v>
      </c>
    </row>
    <row r="24" spans="2:19" ht="13.95" customHeight="1" x14ac:dyDescent="0.3">
      <c r="B24" s="81" t="s">
        <v>1070</v>
      </c>
      <c r="C24" s="82"/>
      <c r="D24" s="82"/>
      <c r="E24" s="82"/>
      <c r="F24" s="82"/>
      <c r="G24" s="82"/>
      <c r="H24" s="82"/>
      <c r="I24" s="82"/>
      <c r="J24" s="82">
        <v>68.451802561699495</v>
      </c>
      <c r="K24" s="82"/>
      <c r="L24" s="82"/>
      <c r="M24" s="82"/>
      <c r="N24" s="82"/>
      <c r="O24" s="82">
        <v>68.451802561699495</v>
      </c>
    </row>
    <row r="25" spans="2:19" ht="13.95" customHeight="1" x14ac:dyDescent="0.3">
      <c r="B25" s="81" t="s">
        <v>128</v>
      </c>
      <c r="C25" s="82">
        <v>62.667848198192026</v>
      </c>
      <c r="D25" s="82">
        <v>78.1957642634964</v>
      </c>
      <c r="E25" s="82">
        <v>76.495280020995011</v>
      </c>
      <c r="F25" s="82">
        <v>73.362318649373663</v>
      </c>
      <c r="G25" s="82">
        <v>64.629968358738623</v>
      </c>
      <c r="H25" s="82">
        <v>63.658206379528195</v>
      </c>
      <c r="I25" s="82">
        <v>52.128667618075639</v>
      </c>
      <c r="J25" s="82">
        <v>64.114873233650883</v>
      </c>
      <c r="K25" s="82">
        <v>70.456918839051838</v>
      </c>
      <c r="L25" s="82" t="e">
        <v>#DIV/0!</v>
      </c>
      <c r="M25" s="82" t="e">
        <v>#DIV/0!</v>
      </c>
      <c r="N25" s="82" t="e">
        <v>#DIV/0!</v>
      </c>
      <c r="O25" s="82" t="e">
        <v>#DIV/0!</v>
      </c>
    </row>
  </sheetData>
  <conditionalFormatting pivot="1" sqref="C5:O25">
    <cfRule type="cellIs" dxfId="130" priority="1" operator="lessThanOrEqual">
      <formula>74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2"/>
  <headerFooter differentFirst="1">
    <oddFooter>&amp;LG05002   R02&amp;R&amp;P / &amp;N&amp;C&amp;"verdana,Regular"&amp;8Kurum İçi | Internal \  Kişisel Veri İçermez | Contains No Personal Data</oddFooter>
    <firstFooter>&amp;LG05002   R02&amp;CHizmete Özel&amp;R&amp;P / &amp;N</firstFooter>
  </headerFooter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100" manualMin="0" type="column" displayEmptyCellsAs="gap" minAxisType="group" maxAxisType="custom" xr2:uid="{00000000-0003-0000-0800-00000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Analizi'!C17:N17</xm:f>
              <xm:sqref>P17</xm:sqref>
            </x14:sparkline>
          </x14:sparklines>
        </x14:sparklineGroup>
        <x14:sparklineGroup manualMax="100" manualMin="0" type="column" displayEmptyCellsAs="gap" minAxisType="group" maxAxisType="custom" xr2:uid="{00000000-0003-0000-0800-000001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Analizi'!C16:N16</xm:f>
              <xm:sqref>P16</xm:sqref>
            </x14:sparkline>
          </x14:sparklines>
        </x14:sparklineGroup>
        <x14:sparklineGroup manualMax="100" manualMin="0" type="column" displayEmptyCellsAs="gap" minAxisType="group" maxAxisType="custom" xr2:uid="{00000000-0003-0000-0800-000002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Analizi'!C15:N15</xm:f>
              <xm:sqref>P15</xm:sqref>
            </x14:sparkline>
          </x14:sparklines>
        </x14:sparklineGroup>
        <x14:sparklineGroup manualMax="100" manualMin="0" type="column" displayEmptyCellsAs="gap" minAxisType="group" maxAxisType="custom" xr2:uid="{00000000-0003-0000-0800-000003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Analizi'!C14:N14</xm:f>
              <xm:sqref>P14</xm:sqref>
            </x14:sparkline>
          </x14:sparklines>
        </x14:sparklineGroup>
        <x14:sparklineGroup manualMax="100" manualMin="0" type="column" displayEmptyCellsAs="gap" minAxisType="group" maxAxisType="custom" xr2:uid="{00000000-0003-0000-0800-000004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Analizi'!C13:N13</xm:f>
              <xm:sqref>P13</xm:sqref>
            </x14:sparkline>
          </x14:sparklines>
        </x14:sparklineGroup>
        <x14:sparklineGroup manualMax="100" manualMin="0" type="column" displayEmptyCellsAs="gap" minAxisType="group" maxAxisType="custom" xr2:uid="{00000000-0003-0000-0800-000005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Analizi'!C12:N12</xm:f>
              <xm:sqref>P12</xm:sqref>
            </x14:sparkline>
          </x14:sparklines>
        </x14:sparklineGroup>
        <x14:sparklineGroup manualMax="100" manualMin="0" type="column" displayEmptyCellsAs="gap" minAxisType="group" maxAxisType="custom" xr2:uid="{00000000-0003-0000-0800-000006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Analizi'!C11:N11</xm:f>
              <xm:sqref>P11</xm:sqref>
            </x14:sparkline>
          </x14:sparklines>
        </x14:sparklineGroup>
        <x14:sparklineGroup manualMax="100" manualMin="0" type="column" displayEmptyCellsAs="gap" minAxisType="group" maxAxisType="custom" xr2:uid="{00000000-0003-0000-0800-000007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Analizi'!C10:N10</xm:f>
              <xm:sqref>P10</xm:sqref>
            </x14:sparkline>
          </x14:sparklines>
        </x14:sparklineGroup>
        <x14:sparklineGroup manualMax="100" manualMin="0" type="column" displayEmptyCellsAs="gap" minAxisType="group" maxAxisType="custom" xr2:uid="{00000000-0003-0000-0800-000008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Analizi'!C9:N9</xm:f>
              <xm:sqref>P9</xm:sqref>
            </x14:sparkline>
          </x14:sparklines>
        </x14:sparklineGroup>
        <x14:sparklineGroup manualMax="100" manualMin="0" type="column" displayEmptyCellsAs="gap" minAxisType="group" maxAxisType="custom" xr2:uid="{00000000-0003-0000-0800-000009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Analizi'!C8:N8</xm:f>
              <xm:sqref>P8</xm:sqref>
            </x14:sparkline>
          </x14:sparklines>
        </x14:sparklineGroup>
        <x14:sparklineGroup manualMax="100" manualMin="0" type="column" displayEmptyCellsAs="gap" maxAxisType="custom" xr2:uid="{00000000-0003-0000-0800-00000A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Analizi'!C5:N5</xm:f>
              <xm:sqref>P5</xm:sqref>
            </x14:sparkline>
          </x14:sparklines>
        </x14:sparklineGroup>
        <x14:sparklineGroup manualMax="100" manualMin="0" type="column" displayEmptyCellsAs="gap" minAxisType="group" maxAxisType="custom" xr2:uid="{00000000-0003-0000-0800-00000B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Analizi'!C18:N18</xm:f>
              <xm:sqref>P18</xm:sqref>
            </x14:sparkline>
          </x14:sparklines>
        </x14:sparklineGroup>
        <x14:sparklineGroup manualMax="100" manualMin="0" type="column" displayEmptyCellsAs="gap" minAxisType="group" maxAxisType="custom" xr2:uid="{00000000-0003-0000-0800-00000C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Analizi'!C7:N7</xm:f>
              <xm:sqref>P7</xm:sqref>
            </x14:sparkline>
          </x14:sparklines>
        </x14:sparklineGroup>
        <x14:sparklineGroup manualMax="100" manualMin="0" type="column" displayEmptyCellsAs="gap" minAxisType="group" maxAxisType="custom" xr2:uid="{00000000-0003-0000-0800-00000D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'Verimlilik Analizi'!C6:N6</xm:f>
              <xm:sqref>P6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Listeler</vt:lpstr>
      <vt:lpstr>Sayfa1</vt:lpstr>
      <vt:lpstr>Veri_Duruş</vt:lpstr>
      <vt:lpstr>Veri</vt:lpstr>
      <vt:lpstr>Tablo</vt:lpstr>
      <vt:lpstr>Verimlilik</vt:lpstr>
      <vt:lpstr>Net İşçilik Kapasite Kaybı</vt:lpstr>
      <vt:lpstr>Açıklanamayan Süre</vt:lpstr>
      <vt:lpstr>Verimlilik Analizi</vt:lpstr>
      <vt:lpstr>Kapasite Analizi</vt:lpstr>
      <vt:lpstr>Açıklanamayan</vt:lpstr>
      <vt:lpstr>Fazla Mesai Direk</vt:lpstr>
      <vt:lpstr>Fazla Mesai Endirek</vt:lpstr>
      <vt:lpstr>Duruşlar</vt:lpstr>
      <vt:lpstr>Fazla Mesai %</vt:lpstr>
      <vt:lpstr>Fazla Mesai</vt:lpstr>
      <vt:lpstr>'Açıklanamayan Süre'!Print_Area</vt:lpstr>
      <vt:lpstr>'Net İşçilik Kapasite Kaybı'!Print_Area</vt:lpstr>
      <vt:lpstr>Verimlilik!Print_Area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Emre Yurtogullari</dc:creator>
  <cp:keywords>Kurum İçi</cp:keywords>
  <dc:description/>
  <cp:lastModifiedBy>Emre KÜÇÜK</cp:lastModifiedBy>
  <cp:revision/>
  <cp:lastPrinted>2021-09-15T10:52:39Z</cp:lastPrinted>
  <dcterms:created xsi:type="dcterms:W3CDTF">2018-12-25T12:16:50Z</dcterms:created>
  <dcterms:modified xsi:type="dcterms:W3CDTF">2021-11-03T11:00:35Z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c9a6a0b3-8f59-4cd2-9b04-af1ff7b7c24d</vt:lpwstr>
  </property>
  <property fmtid="{D5CDD505-2E9C-101B-9397-08002B2CF9AE}" pid="3" name="Classification">
    <vt:lpwstr>Ki-d3z3f047</vt:lpwstr>
  </property>
  <property fmtid="{D5CDD505-2E9C-101B-9397-08002B2CF9AE}" pid="4" name="KVKK">
    <vt:lpwstr>Kv-faa0000</vt:lpwstr>
  </property>
  <property fmtid="{D5CDD505-2E9C-101B-9397-08002B2CF9AE}" pid="5" name="Etiket">
    <vt:lpwstr>Etiket Basılsın</vt:lpwstr>
  </property>
</Properties>
</file>