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1"/>
  <workbookPr filterPrivacy="1" codeName="ThisWorkbook"/>
  <xr:revisionPtr revIDLastSave="0" documentId="13_ncr:1000001_{306AEF7A-888D-4D47-B01D-29786B1229AB}" xr6:coauthVersionLast="47" xr6:coauthVersionMax="47" xr10:uidLastSave="{00000000-0000-0000-0000-000000000000}"/>
  <workbookProtection workbookAlgorithmName="SHA-512" workbookHashValue="OdP0T4Uum9mqGHQXS+Da7BXJzUlumVoFYWRZmcxP+ZGwN1c25HDytfCqMgVblpYaCCGZZad/RHJLIa8cY6M72A==" workbookSaltValue="98Lp84XsbbC36Ne1rba2gQ==" workbookSpinCount="100000" lockStructure="1"/>
  <bookViews>
    <workbookView xWindow="-120" yWindow="-120" windowWidth="20736" windowHeight="11160" xr2:uid="{00000000-000D-0000-FFFF-FFFF00000000}"/>
  </bookViews>
  <sheets>
    <sheet name="Deal Calculator" sheetId="4" r:id="rId1"/>
    <sheet name="Inputs" sheetId="6" state="hidden" r:id="rId2"/>
    <sheet name="Salary Calculator" sheetId="7" r:id="rId3"/>
    <sheet name="Guidelines and Rules" sheetId="3" r:id="rId4"/>
    <sheet name="Version Updates" sheetId="5" r:id="rId5"/>
    <sheet name="Personiv Inputs" sheetId="9" state="hidden" r:id="rId6"/>
  </sheets>
  <definedNames>
    <definedName name="Unit" localSheetId="0">'Guidelines and Rules'!#REF!</definedName>
    <definedName name="Unit" localSheetId="5">'Guidelines and Rules'!#REF!</definedName>
    <definedName name="Unit">'Guidelines and Rules'!#REF!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4" l="1"/>
  <c r="G81" i="4"/>
  <c r="G41" i="4"/>
  <c r="C5" i="7"/>
  <c r="H21" i="7"/>
  <c r="H22" i="7"/>
  <c r="H19" i="7"/>
  <c r="G34" i="4"/>
  <c r="G33" i="4"/>
  <c r="G32" i="4"/>
  <c r="G31" i="4"/>
  <c r="G30" i="4"/>
  <c r="G28" i="4"/>
  <c r="G27" i="4"/>
  <c r="G29" i="4"/>
  <c r="I15" i="7"/>
  <c r="I14" i="7"/>
  <c r="C32" i="9"/>
  <c r="C31" i="9"/>
  <c r="C30" i="9"/>
  <c r="C29" i="9"/>
  <c r="C28" i="9"/>
  <c r="C27" i="9"/>
  <c r="C26" i="9"/>
  <c r="C21" i="9"/>
  <c r="C20" i="9"/>
  <c r="C19" i="9"/>
  <c r="C18" i="9"/>
  <c r="C17" i="9"/>
  <c r="C16" i="9"/>
  <c r="C15" i="9"/>
  <c r="C10" i="9"/>
  <c r="C9" i="9"/>
  <c r="C8" i="9"/>
  <c r="C7" i="9"/>
  <c r="C6" i="9"/>
  <c r="C5" i="9"/>
  <c r="C4" i="9"/>
  <c r="G40" i="4"/>
  <c r="G36" i="4"/>
  <c r="G74" i="4"/>
  <c r="G73" i="4"/>
  <c r="G72" i="4"/>
  <c r="G71" i="4"/>
  <c r="G70" i="4"/>
  <c r="G69" i="4"/>
  <c r="D98" i="6"/>
  <c r="D97" i="6"/>
  <c r="D96" i="6"/>
  <c r="D95" i="6"/>
  <c r="D94" i="6"/>
  <c r="D93" i="6"/>
  <c r="D92" i="6"/>
  <c r="D63" i="6"/>
  <c r="D62" i="6"/>
  <c r="D61" i="6"/>
  <c r="D60" i="6"/>
  <c r="D59" i="6"/>
  <c r="D58" i="6"/>
  <c r="D57" i="6"/>
  <c r="D56" i="6"/>
  <c r="D55" i="6"/>
  <c r="D54" i="6"/>
  <c r="D53" i="6"/>
  <c r="G78" i="4"/>
  <c r="G79" i="4"/>
  <c r="F9" i="4"/>
  <c r="G102" i="4"/>
  <c r="P102" i="4"/>
  <c r="G103" i="4"/>
  <c r="P103" i="4"/>
  <c r="G104" i="4"/>
  <c r="P104" i="4"/>
  <c r="G105" i="4"/>
  <c r="P105" i="4"/>
  <c r="C106" i="4"/>
  <c r="D106" i="4"/>
  <c r="E106" i="4"/>
  <c r="F106" i="4"/>
  <c r="I3" i="6"/>
  <c r="I4" i="6"/>
  <c r="I5" i="6"/>
  <c r="I6" i="6"/>
  <c r="I7" i="6"/>
  <c r="I8" i="6"/>
  <c r="I9" i="6"/>
  <c r="D12" i="6"/>
  <c r="D3" i="9"/>
  <c r="C14" i="9"/>
  <c r="D14" i="9"/>
  <c r="D31" i="9"/>
  <c r="D32" i="9"/>
  <c r="D30" i="9"/>
  <c r="D29" i="9"/>
  <c r="D28" i="9"/>
  <c r="D27" i="9"/>
  <c r="D26" i="9"/>
  <c r="C25" i="9"/>
  <c r="D25" i="9"/>
  <c r="G101" i="4"/>
  <c r="P101" i="4"/>
  <c r="G97" i="4"/>
  <c r="P97" i="4"/>
  <c r="G95" i="4"/>
  <c r="P95" i="4"/>
  <c r="G96" i="4"/>
  <c r="P96" i="4"/>
  <c r="G99" i="4"/>
  <c r="P99" i="4"/>
  <c r="G98" i="4"/>
  <c r="P98" i="4"/>
  <c r="G100" i="4"/>
  <c r="P100" i="4"/>
  <c r="G94" i="4"/>
  <c r="I13" i="7"/>
  <c r="I12" i="7"/>
  <c r="I11" i="7"/>
  <c r="I10" i="7"/>
  <c r="I9" i="7"/>
  <c r="I8" i="7"/>
  <c r="H18" i="7"/>
  <c r="P94" i="4"/>
  <c r="G106" i="4"/>
  <c r="G39" i="4"/>
  <c r="F10" i="4"/>
  <c r="P106" i="4"/>
  <c r="H20" i="7"/>
  <c r="Q94" i="4"/>
  <c r="I94" i="4"/>
  <c r="Q104" i="4"/>
  <c r="I104" i="4"/>
  <c r="Q105" i="4"/>
  <c r="I105" i="4"/>
  <c r="Q103" i="4"/>
  <c r="I103" i="4"/>
  <c r="Q102" i="4"/>
  <c r="I102" i="4"/>
  <c r="Q99" i="4"/>
  <c r="I99" i="4"/>
  <c r="Q95" i="4"/>
  <c r="I95" i="4"/>
  <c r="Q100" i="4"/>
  <c r="I100" i="4"/>
  <c r="Q97" i="4"/>
  <c r="I97" i="4"/>
  <c r="Q101" i="4"/>
  <c r="I101" i="4"/>
  <c r="Q98" i="4"/>
  <c r="I98" i="4"/>
  <c r="Q96" i="4"/>
  <c r="I96" i="4"/>
  <c r="H21" i="9"/>
  <c r="H20" i="9"/>
  <c r="H19" i="9"/>
  <c r="H18" i="9"/>
  <c r="H17" i="9"/>
  <c r="H16" i="9"/>
  <c r="H15" i="9"/>
  <c r="H14" i="9"/>
  <c r="H10" i="9"/>
  <c r="H9" i="9"/>
  <c r="H8" i="9"/>
  <c r="H7" i="9"/>
  <c r="H6" i="9"/>
  <c r="H5" i="9"/>
  <c r="H4" i="9"/>
  <c r="H3" i="9"/>
  <c r="D21" i="9"/>
  <c r="D20" i="9"/>
  <c r="D19" i="9"/>
  <c r="D18" i="9"/>
  <c r="D17" i="9"/>
  <c r="D16" i="9"/>
  <c r="D15" i="9"/>
  <c r="D10" i="9"/>
  <c r="D9" i="9"/>
  <c r="D8" i="9"/>
  <c r="D7" i="9"/>
  <c r="D6" i="9"/>
  <c r="D5" i="9"/>
  <c r="D4" i="9"/>
  <c r="D20" i="6"/>
  <c r="D21" i="6"/>
  <c r="D22" i="6"/>
  <c r="D23" i="6"/>
  <c r="D24" i="6"/>
  <c r="D25" i="6"/>
  <c r="D26" i="6"/>
  <c r="D27" i="6"/>
  <c r="D87" i="6"/>
  <c r="D86" i="6"/>
  <c r="D85" i="6"/>
  <c r="D84" i="6"/>
  <c r="D83" i="6"/>
  <c r="D82" i="6"/>
  <c r="D81" i="6"/>
  <c r="D76" i="6"/>
  <c r="D75" i="6"/>
  <c r="D74" i="6"/>
  <c r="D73" i="6"/>
  <c r="D72" i="6"/>
  <c r="D71" i="6"/>
  <c r="D70" i="6"/>
  <c r="J28" i="6"/>
  <c r="F11" i="4"/>
  <c r="F13" i="4"/>
  <c r="C9" i="4"/>
  <c r="E9" i="4"/>
  <c r="F14" i="4"/>
  <c r="F12" i="4"/>
  <c r="J27" i="6"/>
  <c r="J26" i="6"/>
  <c r="J25" i="6"/>
  <c r="J24" i="6"/>
  <c r="J23" i="6"/>
  <c r="J22" i="6"/>
  <c r="J21" i="6"/>
  <c r="G35" i="4"/>
  <c r="P35" i="4"/>
  <c r="G76" i="4"/>
  <c r="P76" i="4"/>
  <c r="D52" i="6"/>
  <c r="D51" i="6"/>
  <c r="D50" i="6"/>
  <c r="D49" i="6"/>
  <c r="D48" i="6"/>
  <c r="D47" i="6"/>
  <c r="D46" i="6"/>
  <c r="D45" i="6"/>
  <c r="D44" i="6"/>
  <c r="D43" i="6"/>
  <c r="D42" i="6"/>
  <c r="D41" i="6"/>
  <c r="D40" i="6"/>
  <c r="D38" i="6"/>
  <c r="D37" i="6"/>
  <c r="D36" i="6"/>
  <c r="D35" i="6"/>
  <c r="D34" i="6"/>
  <c r="D33" i="6"/>
  <c r="D32" i="6"/>
  <c r="D31" i="6"/>
  <c r="D30" i="6"/>
  <c r="D29" i="6"/>
  <c r="D28" i="6"/>
  <c r="G75" i="4"/>
  <c r="D39" i="6"/>
  <c r="C6" i="7"/>
  <c r="C7" i="7"/>
  <c r="J54" i="4"/>
  <c r="K54" i="4"/>
  <c r="J53" i="4"/>
  <c r="K53" i="4"/>
  <c r="J52" i="4"/>
  <c r="K52" i="4"/>
  <c r="I54" i="4"/>
  <c r="I53" i="4"/>
  <c r="I52" i="4"/>
  <c r="D42" i="4"/>
  <c r="C42" i="4"/>
  <c r="P39" i="4"/>
  <c r="G14" i="3"/>
  <c r="F82" i="4"/>
  <c r="E82" i="4"/>
  <c r="D82" i="4"/>
  <c r="C82" i="4"/>
  <c r="P74" i="4"/>
  <c r="P73" i="4"/>
  <c r="P72" i="4"/>
  <c r="P71" i="4"/>
  <c r="P70" i="4"/>
  <c r="P69" i="4"/>
  <c r="H57" i="4"/>
  <c r="G57" i="4"/>
  <c r="F57" i="4"/>
  <c r="F42" i="4"/>
  <c r="E42" i="4"/>
  <c r="P34" i="4"/>
  <c r="P33" i="4"/>
  <c r="P32" i="4"/>
  <c r="P36" i="4"/>
  <c r="P30" i="4"/>
  <c r="P29" i="4"/>
  <c r="P75" i="4"/>
  <c r="P28" i="4"/>
  <c r="P27" i="4"/>
  <c r="G37" i="4"/>
  <c r="G38" i="4"/>
  <c r="G77" i="4"/>
  <c r="G82" i="4"/>
  <c r="E10" i="4"/>
  <c r="P81" i="4"/>
  <c r="P40" i="4"/>
  <c r="P41" i="4"/>
  <c r="P31" i="4"/>
  <c r="E11" i="4"/>
  <c r="E13" i="4"/>
  <c r="P82" i="4"/>
  <c r="Q76" i="4"/>
  <c r="I76" i="4"/>
  <c r="P38" i="4"/>
  <c r="P37" i="4"/>
  <c r="G42" i="4"/>
  <c r="C10" i="4"/>
  <c r="E12" i="4"/>
  <c r="AG5" i="4"/>
  <c r="AI5" i="4"/>
  <c r="AH5" i="4"/>
  <c r="Q71" i="4"/>
  <c r="I71" i="4"/>
  <c r="Q81" i="4"/>
  <c r="I81" i="4"/>
  <c r="Q69" i="4"/>
  <c r="I69" i="4"/>
  <c r="Q72" i="4"/>
  <c r="I72" i="4"/>
  <c r="Q73" i="4"/>
  <c r="I73" i="4"/>
  <c r="Q74" i="4"/>
  <c r="I74" i="4"/>
  <c r="Q75" i="4"/>
  <c r="I75" i="4"/>
  <c r="Q70" i="4"/>
  <c r="I70" i="4"/>
  <c r="C11" i="4"/>
  <c r="C13" i="4"/>
  <c r="P42" i="4"/>
  <c r="Q35" i="4"/>
  <c r="I35" i="4"/>
  <c r="E15" i="4"/>
  <c r="E16" i="4"/>
  <c r="AG7" i="4"/>
  <c r="AI7" i="4"/>
  <c r="AH7" i="4"/>
  <c r="E14" i="4"/>
  <c r="AG6" i="4"/>
  <c r="AI6" i="4"/>
  <c r="AH6" i="4"/>
  <c r="Q39" i="4"/>
  <c r="I39" i="4"/>
  <c r="Q38" i="4"/>
  <c r="I38" i="4"/>
  <c r="Q29" i="4"/>
  <c r="I29" i="4"/>
  <c r="Q33" i="4"/>
  <c r="I33" i="4"/>
  <c r="Q40" i="4"/>
  <c r="I40" i="4"/>
  <c r="Q41" i="4"/>
  <c r="I41" i="4"/>
  <c r="Q30" i="4"/>
  <c r="I30" i="4"/>
  <c r="Q34" i="4"/>
  <c r="I34" i="4"/>
  <c r="Q27" i="4"/>
  <c r="I27" i="4"/>
  <c r="Q36" i="4"/>
  <c r="I36" i="4"/>
  <c r="Q28" i="4"/>
  <c r="I28" i="4"/>
  <c r="Q32" i="4"/>
  <c r="I32" i="4"/>
  <c r="Q31" i="4"/>
  <c r="I31" i="4"/>
  <c r="Q37" i="4"/>
  <c r="I37" i="4"/>
  <c r="C12" i="4"/>
  <c r="Y5" i="4"/>
  <c r="C15" i="4"/>
  <c r="C14" i="4"/>
  <c r="AA5" i="4"/>
  <c r="Z5" i="4"/>
  <c r="Y6" i="4"/>
  <c r="AA6" i="4"/>
  <c r="Z6" i="4"/>
  <c r="C16" i="4"/>
  <c r="Y7" i="4"/>
  <c r="G13" i="3"/>
  <c r="G12" i="3"/>
  <c r="G11" i="3"/>
  <c r="G10" i="3"/>
  <c r="G9" i="3"/>
  <c r="G8" i="3"/>
  <c r="G7" i="3"/>
  <c r="G6" i="3"/>
  <c r="G5" i="3"/>
  <c r="G4" i="3"/>
  <c r="G3" i="3"/>
  <c r="G52" i="4"/>
  <c r="M52" i="4"/>
  <c r="G53" i="4"/>
  <c r="M53" i="4"/>
  <c r="G54" i="4"/>
  <c r="M54" i="4"/>
  <c r="F53" i="4"/>
  <c r="L53" i="4"/>
  <c r="F54" i="4"/>
  <c r="L54" i="4"/>
  <c r="F52" i="4"/>
  <c r="L52" i="4"/>
  <c r="AA7" i="4"/>
  <c r="Z7" i="4"/>
  <c r="M56" i="4"/>
  <c r="M55" i="4"/>
  <c r="L57" i="4"/>
  <c r="D9" i="4"/>
  <c r="G9" i="4"/>
  <c r="H9" i="4"/>
  <c r="M57" i="4"/>
  <c r="D10" i="4"/>
  <c r="G10" i="4"/>
  <c r="H10" i="4"/>
  <c r="H11" i="4"/>
  <c r="H12" i="4"/>
  <c r="G11" i="4"/>
  <c r="G12" i="4"/>
  <c r="D11" i="4"/>
  <c r="D12" i="4"/>
  <c r="AC5" i="4"/>
  <c r="AE5" i="4"/>
  <c r="AD5" i="4"/>
  <c r="D13" i="4"/>
  <c r="G13" i="4"/>
  <c r="G14" i="4"/>
  <c r="D15" i="4"/>
  <c r="D16" i="4"/>
  <c r="AC7" i="4"/>
  <c r="AE7" i="4"/>
  <c r="AD7" i="4"/>
  <c r="H13" i="4"/>
  <c r="H14" i="4"/>
  <c r="D14" i="4"/>
  <c r="AC6" i="4"/>
  <c r="AE6" i="4"/>
  <c r="AD6" i="4"/>
  <c r="G15" i="4"/>
  <c r="G16" i="4"/>
  <c r="H15" i="4"/>
  <c r="H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7" authorId="0" shapeId="0" xr:uid="{00000000-0006-0000-0000-000001000000}">
      <text>
        <r>
          <rPr>
            <b/>
            <sz val="9"/>
            <color indexed="81"/>
            <rFont val="Tahoma"/>
            <family val="2"/>
          </rPr>
          <t>Enter $ value of the Deal Discount (if any)</t>
        </r>
      </text>
    </comment>
    <comment ref="B19" authorId="0" shapeId="0" xr:uid="{00000000-0006-0000-0000-000002000000}">
      <text>
        <r>
          <rPr>
            <sz val="9"/>
            <color indexed="81"/>
            <rFont val="Tahoma"/>
            <family val="2"/>
          </rPr>
          <t>Enter 12 months for LTP</t>
        </r>
      </text>
    </comment>
    <comment ref="H35" authorId="0" shapeId="0" xr:uid="{00000000-0006-0000-0000-000003000000}">
      <text>
        <r>
          <rPr>
            <b/>
            <sz val="13"/>
            <color indexed="81"/>
            <rFont val="Calibri"/>
            <family val="2"/>
            <scheme val="minor"/>
          </rPr>
          <t xml:space="preserve">Enter INR value in H35
</t>
        </r>
      </text>
    </comment>
    <comment ref="B37" authorId="0" shapeId="0" xr:uid="{00000000-0006-0000-0000-000004000000}">
      <text>
        <r>
          <rPr>
            <b/>
            <sz val="9"/>
            <color indexed="81"/>
            <rFont val="Tahoma"/>
            <family val="2"/>
          </rPr>
          <t>APGM+, KAs and unmapped resources' cost</t>
        </r>
      </text>
    </comment>
    <comment ref="H39" authorId="0" shapeId="0" xr:uid="{00000000-0006-0000-0000-000005000000}">
      <text>
        <r>
          <rPr>
            <b/>
            <sz val="13"/>
            <color indexed="81"/>
            <rFont val="Calibri"/>
            <family val="2"/>
            <scheme val="minor"/>
          </rPr>
          <t>Enter $ value in H38 if the cost is other than G38</t>
        </r>
      </text>
    </comment>
    <comment ref="H41" authorId="0" shapeId="0" xr:uid="{00000000-0006-0000-0000-000006000000}">
      <text>
        <r>
          <rPr>
            <b/>
            <sz val="13"/>
            <color indexed="81"/>
            <rFont val="Calibri"/>
            <family val="2"/>
            <scheme val="minor"/>
          </rPr>
          <t xml:space="preserve">Enter $ value in H41
</t>
        </r>
      </text>
    </comment>
    <comment ref="G68" authorId="0" shapeId="0" xr:uid="{00000000-0006-0000-0000-000007000000}">
      <text>
        <r>
          <rPr>
            <b/>
            <sz val="12"/>
            <color indexed="81"/>
            <rFont val="Tahoma"/>
            <family val="2"/>
          </rPr>
          <t>Author:</t>
        </r>
        <r>
          <rPr>
            <sz val="12"/>
            <color indexed="81"/>
            <rFont val="Tahoma"/>
            <family val="2"/>
          </rPr>
          <t xml:space="preserve">
Input custom monthly value or project value in USD whichever is lower</t>
        </r>
      </text>
    </comment>
    <comment ref="H76" authorId="0" shapeId="0" xr:uid="{00000000-0006-0000-0000-000008000000}">
      <text>
        <r>
          <rPr>
            <b/>
            <sz val="13"/>
            <color indexed="81"/>
            <rFont val="Calibri"/>
            <family val="2"/>
            <scheme val="minor"/>
          </rPr>
          <t>Enter $ value in H76</t>
        </r>
      </text>
    </comment>
    <comment ref="B77" authorId="0" shapeId="0" xr:uid="{00000000-0006-0000-0000-000009000000}">
      <text>
        <r>
          <rPr>
            <b/>
            <sz val="9"/>
            <color indexed="81"/>
            <rFont val="Tahoma"/>
            <family val="2"/>
          </rPr>
          <t>APGM+, KAs and unmapped resources' cost</t>
        </r>
      </text>
    </comment>
    <comment ref="H78" authorId="0" shapeId="0" xr:uid="{00000000-0006-0000-0000-00000A000000}">
      <text>
        <r>
          <rPr>
            <b/>
            <sz val="13"/>
            <color indexed="81"/>
            <rFont val="Calibri"/>
            <family val="2"/>
            <scheme val="minor"/>
          </rPr>
          <t>Enter $ value in H78 if it is different from G78</t>
        </r>
      </text>
    </comment>
    <comment ref="H79" authorId="0" shapeId="0" xr:uid="{00000000-0006-0000-0000-00000B000000}">
      <text>
        <r>
          <rPr>
            <b/>
            <sz val="13"/>
            <color indexed="81"/>
            <rFont val="Calibri"/>
            <family val="2"/>
            <scheme val="minor"/>
          </rPr>
          <t>Enter $ value in H79</t>
        </r>
      </text>
    </comment>
    <comment ref="H80" authorId="0" shapeId="0" xr:uid="{00000000-0006-0000-0000-00000C000000}">
      <text>
        <r>
          <rPr>
            <b/>
            <sz val="13"/>
            <color indexed="81"/>
            <rFont val="Calibri"/>
            <family val="2"/>
            <scheme val="minor"/>
          </rPr>
          <t>Enter $ value in H80</t>
        </r>
      </text>
    </comment>
    <comment ref="H81" authorId="0" shapeId="0" xr:uid="{00000000-0006-0000-0000-00000D000000}">
      <text>
        <r>
          <rPr>
            <b/>
            <sz val="13"/>
            <color indexed="81"/>
            <rFont val="Calibri"/>
            <family val="2"/>
            <scheme val="minor"/>
          </rPr>
          <t>Enter $ value in H81</t>
        </r>
      </text>
    </comment>
    <comment ref="H102" authorId="0" shapeId="0" xr:uid="{00000000-0006-0000-0000-00000E000000}">
      <text>
        <r>
          <rPr>
            <b/>
            <sz val="13"/>
            <color indexed="81"/>
            <rFont val="Calibri"/>
            <family val="2"/>
            <scheme val="minor"/>
          </rPr>
          <t xml:space="preserve">Enter INR value in H19
</t>
        </r>
      </text>
    </comment>
    <comment ref="H103" authorId="0" shapeId="0" xr:uid="{00000000-0006-0000-0000-00000F000000}">
      <text>
        <r>
          <rPr>
            <b/>
            <sz val="13"/>
            <color indexed="81"/>
            <rFont val="Calibri"/>
            <family val="2"/>
            <scheme val="minor"/>
          </rPr>
          <t>Enter $ value in H20 if the cost is other than G20</t>
        </r>
      </text>
    </comment>
    <comment ref="H104" authorId="0" shapeId="0" xr:uid="{00000000-0006-0000-0000-000010000000}">
      <text>
        <r>
          <rPr>
            <b/>
            <sz val="13"/>
            <color indexed="81"/>
            <rFont val="Calibri"/>
            <family val="2"/>
            <scheme val="minor"/>
          </rPr>
          <t>Enter $ value in H21 if the cost is other than G21</t>
        </r>
      </text>
    </comment>
    <comment ref="H105" authorId="0" shapeId="0" xr:uid="{00000000-0006-0000-0000-000011000000}">
      <text>
        <r>
          <rPr>
            <b/>
            <sz val="13"/>
            <color indexed="81"/>
            <rFont val="Calibri"/>
            <family val="2"/>
            <scheme val="minor"/>
          </rPr>
          <t>Enter $ value in H22 if the cost is other than G22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2" authorId="0" shapeId="0" xr:uid="{00000000-0006-0000-0300-000001000000}">
      <text>
        <r>
          <rPr>
            <b/>
            <sz val="12"/>
            <color indexed="81"/>
            <rFont val="Tahoma"/>
            <family val="2"/>
          </rPr>
          <t>Update new bill rate if it is other than mentioned in column J. Don't enter 0 or -</t>
        </r>
      </text>
    </comment>
    <comment ref="L2" authorId="0" shapeId="0" xr:uid="{00000000-0006-0000-0300-000002000000}">
      <text>
        <r>
          <rPr>
            <sz val="9"/>
            <color indexed="81"/>
            <rFont val="Tahoma"/>
            <family val="2"/>
          </rPr>
          <t>Choose billing type</t>
        </r>
      </text>
    </comment>
    <comment ref="M2" authorId="0" shapeId="0" xr:uid="{00000000-0006-0000-0300-000003000000}">
      <text>
        <r>
          <rPr>
            <sz val="9"/>
            <color indexed="81"/>
            <rFont val="Tahoma"/>
            <family val="2"/>
          </rPr>
          <t>Choose salary currency</t>
        </r>
      </text>
    </comment>
  </commentList>
</comments>
</file>

<file path=xl/sharedStrings.xml><?xml version="1.0" encoding="utf-8"?>
<sst xmlns="http://schemas.openxmlformats.org/spreadsheetml/2006/main" count="664" uniqueCount="201">
  <si>
    <t>Particulars</t>
  </si>
  <si>
    <t>Execution Floor HC</t>
  </si>
  <si>
    <t>Analyst</t>
  </si>
  <si>
    <t>Senior Analyst</t>
  </si>
  <si>
    <t>Associate Process Mgr</t>
  </si>
  <si>
    <t>Process Manager</t>
  </si>
  <si>
    <t>Senior Process Manager</t>
  </si>
  <si>
    <t>Day</t>
  </si>
  <si>
    <t>Night</t>
  </si>
  <si>
    <t>USD Conversion Rate (₹)</t>
  </si>
  <si>
    <t>Project Summary</t>
  </si>
  <si>
    <t>Total</t>
  </si>
  <si>
    <t>Onshore consulting (Monthly)</t>
  </si>
  <si>
    <t>Bill Rate</t>
  </si>
  <si>
    <t>Pay Rate</t>
  </si>
  <si>
    <t>Unit</t>
  </si>
  <si>
    <t>Monthly</t>
  </si>
  <si>
    <t>Hourly</t>
  </si>
  <si>
    <t>Daily</t>
  </si>
  <si>
    <t>GBP</t>
  </si>
  <si>
    <t>EUR</t>
  </si>
  <si>
    <t>CCY</t>
  </si>
  <si>
    <t>SGD</t>
  </si>
  <si>
    <t>USD</t>
  </si>
  <si>
    <t>Level</t>
  </si>
  <si>
    <t>Rules for Onshore</t>
  </si>
  <si>
    <t>#FTEs</t>
  </si>
  <si>
    <t>Units per month</t>
  </si>
  <si>
    <t>Contractor</t>
  </si>
  <si>
    <t>Onshore BD Cost</t>
  </si>
  <si>
    <t>Consulting</t>
  </si>
  <si>
    <t>Onshore</t>
  </si>
  <si>
    <t>Tech Revenue (Monthly)</t>
  </si>
  <si>
    <t>Tech Avg Sal</t>
  </si>
  <si>
    <t>Tech Onshore Consultant</t>
  </si>
  <si>
    <t>Tech</t>
  </si>
  <si>
    <t>APGM+</t>
  </si>
  <si>
    <t>Type</t>
  </si>
  <si>
    <t>Custom Role/Any addn. OH</t>
  </si>
  <si>
    <t>Rules for BPO/Tech</t>
  </si>
  <si>
    <t>Revenue</t>
  </si>
  <si>
    <t>Cost</t>
  </si>
  <si>
    <t>Revenue 
[$]</t>
  </si>
  <si>
    <t>Cost 
[$]</t>
  </si>
  <si>
    <t>Consultant</t>
  </si>
  <si>
    <t>Sr. Consultant</t>
  </si>
  <si>
    <t>Location</t>
  </si>
  <si>
    <t>Dell</t>
  </si>
  <si>
    <t>London</t>
  </si>
  <si>
    <t>Singapore</t>
  </si>
  <si>
    <t>Rate</t>
  </si>
  <si>
    <t>Currency</t>
  </si>
  <si>
    <t>Permanent</t>
  </si>
  <si>
    <t>Total FTEs/Cost</t>
  </si>
  <si>
    <t>BPO Non Analytics</t>
  </si>
  <si>
    <t>BPO Analytics</t>
  </si>
  <si>
    <t>GGM $</t>
  </si>
  <si>
    <t>GGM %</t>
  </si>
  <si>
    <t>For BPO and Tech the currency is USD</t>
  </si>
  <si>
    <t>For Consulting, currency in CCY column is based on the location selected. However the revenue and cost in Revenue and Cost columns respectively are calculated in USD</t>
  </si>
  <si>
    <t>Units per month in consulting table are based on Unit column. E.g. Monthly will have 1, Daily will have 20/21/22 (working days in a month) and Hours will have 160/168/176 (working hours per month)</t>
  </si>
  <si>
    <t xml:space="preserve">FTEs column needs to be updated considering the Utilization. i.e. if the utilization is say 80% then the FTE will be 0.8 which is 80% of 1 </t>
  </si>
  <si>
    <t>GM $</t>
  </si>
  <si>
    <t>GM%</t>
  </si>
  <si>
    <t>Direct Cost</t>
  </si>
  <si>
    <t>OPM</t>
  </si>
  <si>
    <t>OPM%</t>
  </si>
  <si>
    <t>A</t>
  </si>
  <si>
    <t>SA</t>
  </si>
  <si>
    <t>APM</t>
  </si>
  <si>
    <t>PM</t>
  </si>
  <si>
    <t>SPM</t>
  </si>
  <si>
    <t>APGM</t>
  </si>
  <si>
    <t>PGM</t>
  </si>
  <si>
    <t>COE</t>
  </si>
  <si>
    <t>Tech Dev</t>
  </si>
  <si>
    <t>Program Cost</t>
  </si>
  <si>
    <t>Pgm Cost Analytics</t>
  </si>
  <si>
    <t>CI Infra and Proxy Cost</t>
  </si>
  <si>
    <t>GGM%</t>
  </si>
  <si>
    <t>BPO Designations</t>
  </si>
  <si>
    <t>Tech Designations</t>
  </si>
  <si>
    <t>BPO NSA</t>
  </si>
  <si>
    <t>Onshore Consultant</t>
  </si>
  <si>
    <t>BD Cost % for BUs</t>
  </si>
  <si>
    <t>Thresholds</t>
  </si>
  <si>
    <t>Guidelines for using GGM Calculator</t>
  </si>
  <si>
    <t>Units pm</t>
  </si>
  <si>
    <t>Travel &amp; Marketing Cost</t>
  </si>
  <si>
    <t>Travel &amp; Mktg Cost (BPO)</t>
  </si>
  <si>
    <t>Travel &amp; Mktg Cost (Onshore)</t>
  </si>
  <si>
    <t>Management Floor HC</t>
  </si>
  <si>
    <t>Amount ($)</t>
  </si>
  <si>
    <r>
      <t xml:space="preserve">Select BU </t>
    </r>
    <r>
      <rPr>
        <sz val="12"/>
        <color theme="1" tint="0.34998626667073579"/>
        <rFont val="Webdings"/>
        <family val="1"/>
        <charset val="2"/>
      </rPr>
      <t>4</t>
    </r>
  </si>
  <si>
    <t>Input Data</t>
  </si>
  <si>
    <t xml:space="preserve"> Digital</t>
  </si>
  <si>
    <t>India BPO</t>
  </si>
  <si>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</si>
  <si>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 India - BPO</t>
    </r>
  </si>
  <si>
    <r>
      <t xml:space="preserve">Select BU </t>
    </r>
    <r>
      <rPr>
        <sz val="11"/>
        <color theme="1" tint="0.34998626667073579"/>
        <rFont val="Webdings"/>
        <family val="1"/>
        <charset val="2"/>
      </rPr>
      <t>4</t>
    </r>
  </si>
  <si>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</si>
  <si>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xml:space="preserve">    Tech</t>
    </r>
  </si>
  <si>
    <r>
      <t xml:space="preserve">COE Resource </t>
    </r>
    <r>
      <rPr>
        <b/>
        <sz val="10"/>
        <color theme="1" tint="0.34998626667073579"/>
        <rFont val="Calibri"/>
        <family val="2"/>
        <scheme val="minor"/>
      </rPr>
      <t>[hrs/ mth]</t>
    </r>
  </si>
  <si>
    <t>Input Cells</t>
  </si>
  <si>
    <t>Deal Calculator</t>
  </si>
  <si>
    <t>Percent of Cost</t>
  </si>
  <si>
    <t>Support SOS Cost</t>
  </si>
  <si>
    <t>New Rate</t>
  </si>
  <si>
    <t>Version :</t>
  </si>
  <si>
    <t>Date Created :</t>
  </si>
  <si>
    <t>V3</t>
  </si>
  <si>
    <t>Date</t>
  </si>
  <si>
    <t>Version</t>
  </si>
  <si>
    <t>Specifics</t>
  </si>
  <si>
    <t>1. Travel and Marketing costs reduced from GM. Changes done in BPO and Consulting
2. BD Costs changed as provided by Scott
3. Bill Rates and Costs changed for all Onshore with an override function
4. 1 category of Consultant-Europe added
5. Comment added for Program Cost
6. Tech Cost (Program funded) has been added in BPO Model with an override and removed from Project Summary</t>
  </si>
  <si>
    <t>V4</t>
  </si>
  <si>
    <t>1. Version name and date changed
2. Drop Down range simplified for Onshore Locations
3. Currency formula for Consulting corrected</t>
  </si>
  <si>
    <t>V5</t>
  </si>
  <si>
    <t>V6</t>
  </si>
  <si>
    <t>1. Moved the cost details on to another tab and hid that tab</t>
  </si>
  <si>
    <t>Duration in months</t>
  </si>
  <si>
    <t>Project Duration [in months]</t>
  </si>
  <si>
    <t>AMER</t>
  </si>
  <si>
    <t>EMEA</t>
  </si>
  <si>
    <t>West or East Coast</t>
  </si>
  <si>
    <t>Austin</t>
  </si>
  <si>
    <t>Europe</t>
  </si>
  <si>
    <r>
      <rPr>
        <sz val="12"/>
        <color theme="0"/>
        <rFont val="Wingdings"/>
        <charset val="2"/>
      </rPr>
      <t></t>
    </r>
    <r>
      <rPr>
        <sz val="12"/>
        <color theme="0"/>
        <rFont val="Calibri"/>
        <family val="2"/>
        <scheme val="minor"/>
      </rPr>
      <t xml:space="preserve">  India - BPO</t>
    </r>
  </si>
  <si>
    <r>
      <rPr>
        <sz val="12"/>
        <color theme="0"/>
        <rFont val="Wingdings"/>
        <charset val="2"/>
      </rPr>
      <t></t>
    </r>
    <r>
      <rPr>
        <sz val="12"/>
        <color theme="0"/>
        <rFont val="Calibri"/>
        <family val="2"/>
        <scheme val="minor"/>
      </rPr>
      <t xml:space="preserve">  Tech</t>
    </r>
  </si>
  <si>
    <t>1. Changed the values in project summary to Annual to match it with the deal value. Added duration data validation right below project summary as an input field
2. Provided an override for Travel cost. And also changed all overrides to values from %
3. Modified BU names in dropdowns</t>
  </si>
  <si>
    <t>V7</t>
  </si>
  <si>
    <t>Travel &amp; Marketing Cost % changed for BPO and Onshore for all the BUs</t>
  </si>
  <si>
    <t>Deal Discount $</t>
  </si>
  <si>
    <t>Total after Discount</t>
  </si>
  <si>
    <t>V8</t>
  </si>
  <si>
    <t>Apprentice</t>
  </si>
  <si>
    <t>1. BD Costs revised for all BUs
2. Deal Discount cell provided at C17 and GGM after Discount calculated in column G
3. Manual adjustment provided for Onshore BD Cost and Travel &amp; Marketing Cost
4. GGM% Threshold changed to 50% and 20% for Offshore and Onshore respectively
5. Direct Costs revised for BPO and Tech for all designations
6. JA designation removed and Apprentice designation added</t>
  </si>
  <si>
    <t>V9</t>
  </si>
  <si>
    <t>Onshore BD Costs Manual update issue fixed as some users were not able to update manually</t>
  </si>
  <si>
    <t>V10</t>
  </si>
  <si>
    <t>1. Direct Costs revised for BPO and Tech for all designations
2. BD Costs revised for all BUs
3. Travel Costs revised for all BUs
4. Tech Cost (Program funded) changed
5. CI Infra and Prxy cost revised
6. Removed manual edits for BD Costs, Travel and Marketing Costs and Onshore Direct Costs</t>
  </si>
  <si>
    <t>V11</t>
  </si>
  <si>
    <t>Updated FX as per Mar'22</t>
  </si>
  <si>
    <t>V12</t>
  </si>
  <si>
    <t>1. Direct Costs revised for BPO and Tech for all designations
2. Updated FX as per YTD Aug 2022</t>
  </si>
  <si>
    <r>
      <t xml:space="preserve">Select Program </t>
    </r>
    <r>
      <rPr>
        <sz val="12"/>
        <color theme="1" tint="0.34998626667073579"/>
        <rFont val="Webdings"/>
        <family val="1"/>
        <charset val="2"/>
      </rPr>
      <t>4</t>
    </r>
  </si>
  <si>
    <t>CSC</t>
  </si>
  <si>
    <t>DAC</t>
  </si>
  <si>
    <t>DO</t>
  </si>
  <si>
    <t>V13</t>
  </si>
  <si>
    <t>Program cost</t>
  </si>
  <si>
    <t>Support Cost (SoS)</t>
  </si>
  <si>
    <t>Old Cost Structure</t>
  </si>
  <si>
    <t>COE Resource [hrs/ mth]</t>
  </si>
  <si>
    <t>Vendor/Retainer</t>
  </si>
  <si>
    <t>Digital Products</t>
  </si>
  <si>
    <t>Revenue (Monthly)</t>
  </si>
  <si>
    <t>CI Revenue (Monthly)</t>
  </si>
  <si>
    <t>Travel &amp; Mktg Cost (Tech)</t>
  </si>
  <si>
    <t>INR</t>
  </si>
  <si>
    <t>Select BU and Program from the dropdown provided in cell G19 and cell G20</t>
  </si>
  <si>
    <t>Bill Rate/Price can be updated in Guidelines and Rules Tab in column K if they differ from column J. Don't put 0 or - anywhere</t>
  </si>
  <si>
    <t>1. Drop down provided for Programs 
2. Program wise Direct Costs revised for BPO and Tech for all designations
3. Updated FX as per FY24
4. BD Costs and Travel Costs updated
5. Moved CI Revenue and Cost to Tech
6. Vendor/Retainer line added in BPO and Tech
7. Night Shift Allowance revised
8. Onshore Bill Rates revised
9. GGM Thresholds revised as per Programs</t>
  </si>
  <si>
    <t>V14</t>
  </si>
  <si>
    <t>1. Onshore Bill Rates revised
2. Onshore Costs revised</t>
  </si>
  <si>
    <t>V15</t>
  </si>
  <si>
    <t>Select the BU</t>
  </si>
  <si>
    <t>Select the Program</t>
  </si>
  <si>
    <t>Enter monthly billing rate [USD]</t>
  </si>
  <si>
    <t>Target GGM%</t>
  </si>
  <si>
    <t>Monthly Cost of to-be Deployed FTE ($) [Max]</t>
  </si>
  <si>
    <t>Monthly Cost of to-be Deployed FTE (INR) incl markup</t>
  </si>
  <si>
    <t>Calculated values</t>
  </si>
  <si>
    <t>Input required</t>
  </si>
  <si>
    <t>Salary Calculator sheet added</t>
  </si>
  <si>
    <r>
      <rPr>
        <sz val="12"/>
        <color theme="0"/>
        <rFont val="Wingdings 2"/>
        <family val="1"/>
        <charset val="2"/>
      </rPr>
      <t>x</t>
    </r>
    <r>
      <rPr>
        <sz val="12"/>
        <color theme="0"/>
        <rFont val="Calibri"/>
        <family val="2"/>
        <scheme val="minor"/>
      </rPr>
      <t xml:space="preserve"> Personiv</t>
    </r>
  </si>
  <si>
    <t>Personiv DS</t>
  </si>
  <si>
    <t>Coimbatore</t>
  </si>
  <si>
    <t>Gurugram</t>
  </si>
  <si>
    <t>Manila</t>
  </si>
  <si>
    <t>New Cost Structure BPO and Tech</t>
  </si>
  <si>
    <t>New Cost Structure Personiv</t>
  </si>
  <si>
    <r>
      <rPr>
        <sz val="12"/>
        <color theme="0"/>
        <rFont val="Wingdings 2"/>
        <family val="1"/>
        <charset val="2"/>
      </rPr>
      <t xml:space="preserve">x </t>
    </r>
    <r>
      <rPr>
        <sz val="12"/>
        <color theme="0"/>
        <rFont val="Calibri"/>
        <family val="2"/>
        <scheme val="minor"/>
      </rPr>
      <t>Personiv</t>
    </r>
  </si>
  <si>
    <t>Digital Products % for BUs</t>
  </si>
  <si>
    <r>
      <t xml:space="preserve">Select Location </t>
    </r>
    <r>
      <rPr>
        <sz val="12"/>
        <color theme="1" tint="0.34998626667073579"/>
        <rFont val="Webdings"/>
        <family val="1"/>
        <charset val="2"/>
      </rPr>
      <t>4</t>
    </r>
  </si>
  <si>
    <t>V16</t>
  </si>
  <si>
    <t>Personiv Deal Calculator prepared in a separate sheet and included in Summary in Deal Calculator sheet</t>
  </si>
  <si>
    <t>V17</t>
  </si>
  <si>
    <t>Salary Calculator sheet added for Personiv</t>
  </si>
  <si>
    <t>V18</t>
  </si>
  <si>
    <t>BPO average salary revised downwards, Tech revised slightly upwards as per June numbers; Travel &amp; marketing revised upwards, Digital Products moved below GM line</t>
  </si>
  <si>
    <t>V19</t>
  </si>
  <si>
    <t>Odyssey</t>
  </si>
  <si>
    <t>INR (Coim &amp; Gur TBU)</t>
  </si>
  <si>
    <t>Emg Tech</t>
  </si>
  <si>
    <t>D Tech</t>
  </si>
  <si>
    <t>Thryv</t>
  </si>
  <si>
    <t>APAC+</t>
  </si>
  <si>
    <t>As on May'24</t>
  </si>
  <si>
    <t>Personiv</t>
  </si>
  <si>
    <t>1. Salary costs revised throughout
2. Added fields for Manila, Odyssey, Thryv, Emg Tech &amp; D Tech
3. BD &amp; Travel Costs revised for all BUs
4. CI Server &amp; Proxy Costs revised
5. Onshore salary and type (Hourly, daily etc) is now flexible
6. Salary calculator updated for Personiv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</si>
</sst>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_ [$₹-4009]\ * #,##0_ ;_ [$₹-4009]\ * \-#,##0_ ;_ [$₹-4009]\ * &quot;-&quot;??_ ;_ @_ "/>
    <numFmt numFmtId="165" formatCode="_(* #,##0_);_(* \(#,##0\);_(* &quot;-&quot;??_);_(@_)"/>
    <numFmt numFmtId="166" formatCode="_ [$₹-4009]\ * #,##0.00_ ;_ [$₹-4009]\ * \-#,##0.00_ ;_ [$₹-4009]\ * &quot;-&quot;??_ ;_ @_ "/>
    <numFmt numFmtId="167" formatCode="0.0%"/>
    <numFmt numFmtId="168" formatCode="&quot;$&quot;#,##0"/>
    <numFmt numFmtId="169" formatCode="&quot;$&quot;#,##0.00"/>
    <numFmt numFmtId="170" formatCode="[$-409]d\-mmm\-yyyy;@"/>
    <numFmt numFmtId="171" formatCode="#,##0.0"/>
    <numFmt numFmtId="172" formatCode="_(&quot;$&quot;* #,##0_);_(&quot;$&quot;* \(#,##0\);_(&quot;$&quot;* &quot;-&quot;??_);_(@_)"/>
    <numFmt numFmtId="173" formatCode="_ [$₹-4009]\ * #,##0_ ;_ [$₹-4009]\ * \-#,##0_ ;_ [$₹-4009]\ * &quot;-&quot;_ ;_ @_ "/>
  </numFmts>
  <fonts count="6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theme="5" tint="-0.249977111117893"/>
      <name val="Calibri"/>
      <family val="2"/>
      <scheme val="minor"/>
    </font>
    <font>
      <b/>
      <sz val="11"/>
      <name val="Calibri"/>
      <family val="2"/>
      <scheme val="minor"/>
    </font>
    <font>
      <u/>
      <sz val="11"/>
      <color theme="10"/>
      <name val="Calibri"/>
      <family val="2"/>
      <scheme val="minor"/>
    </font>
    <font>
      <sz val="11"/>
      <color theme="0" tint="-4.9989318521683403E-2"/>
      <name val="Calibri"/>
      <family val="2"/>
      <scheme val="minor"/>
    </font>
    <font>
      <u/>
      <sz val="11"/>
      <color theme="10"/>
      <name val="Georgia"/>
      <family val="1"/>
    </font>
    <font>
      <b/>
      <sz val="12"/>
      <color theme="1"/>
      <name val="Arial"/>
      <family val="2"/>
    </font>
    <font>
      <u/>
      <sz val="12"/>
      <color theme="10"/>
      <name val="Arial"/>
      <family val="2"/>
    </font>
    <font>
      <sz val="11"/>
      <color theme="0"/>
      <name val="Calibri"/>
      <family val="2"/>
      <scheme val="minor"/>
    </font>
    <font>
      <b/>
      <sz val="28"/>
      <color rgb="FFFF0000"/>
      <name val="Calibri"/>
      <family val="2"/>
    </font>
    <font>
      <b/>
      <sz val="12"/>
      <color indexed="81"/>
      <name val="Tahoma"/>
      <family val="2"/>
    </font>
    <font>
      <sz val="12"/>
      <color indexed="81"/>
      <name val="Tahoma"/>
      <family val="2"/>
    </font>
    <font>
      <b/>
      <sz val="16"/>
      <color theme="1"/>
      <name val="Calibri"/>
      <family val="2"/>
      <scheme val="minor"/>
    </font>
    <font>
      <b/>
      <sz val="11"/>
      <color rgb="FF002060"/>
      <name val="Calibri"/>
      <family val="2"/>
      <scheme val="minor"/>
    </font>
    <font>
      <b/>
      <sz val="13"/>
      <color indexed="81"/>
      <name val="Calibri"/>
      <family val="2"/>
      <scheme val="minor"/>
    </font>
    <font>
      <sz val="12"/>
      <color theme="0"/>
      <name val="Calibri"/>
      <family val="2"/>
      <scheme val="minor"/>
    </font>
    <font>
      <sz val="14"/>
      <color theme="0"/>
      <name val="Calibri"/>
      <family val="2"/>
      <scheme val="minor"/>
    </font>
    <font>
      <b/>
      <sz val="12"/>
      <color theme="1"/>
      <name val="Calibri"/>
      <family val="2"/>
      <scheme val="minor"/>
    </font>
    <font>
      <sz val="12"/>
      <color theme="1" tint="0.34998626667073579"/>
      <name val="Calibri"/>
      <family val="2"/>
      <scheme val="minor"/>
    </font>
    <font>
      <sz val="12"/>
      <color theme="1" tint="0.34998626667073579"/>
      <name val="Webdings"/>
      <family val="1"/>
      <charset val="2"/>
    </font>
    <font>
      <sz val="14"/>
      <color rgb="FF3D2A46"/>
      <name val="Calibri"/>
      <family val="2"/>
      <scheme val="minor"/>
    </font>
    <font>
      <sz val="26"/>
      <color theme="0"/>
      <name val="Calibri"/>
      <family val="2"/>
      <scheme val="minor"/>
    </font>
    <font>
      <b/>
      <sz val="12"/>
      <color rgb="FFC00000"/>
      <name val="Arial"/>
      <family val="2"/>
    </font>
    <font>
      <sz val="11"/>
      <color theme="1" tint="0.34998626667073579"/>
      <name val="Calibri"/>
      <family val="2"/>
      <scheme val="minor"/>
    </font>
    <font>
      <sz val="11"/>
      <color rgb="FF9C6B55"/>
      <name val="Calibri"/>
      <family val="2"/>
      <scheme val="minor"/>
    </font>
    <font>
      <sz val="11"/>
      <color rgb="FF6B9CA9"/>
      <name val="Calibri"/>
      <family val="2"/>
      <scheme val="minor"/>
    </font>
    <font>
      <sz val="11"/>
      <color rgb="FFD5644B"/>
      <name val="Calibri"/>
      <family val="2"/>
      <scheme val="minor"/>
    </font>
    <font>
      <b/>
      <sz val="11"/>
      <color theme="0"/>
      <name val="Calibri"/>
      <family val="2"/>
      <scheme val="minor"/>
    </font>
    <font>
      <sz val="12"/>
      <color theme="0"/>
      <name val="Wingdings"/>
      <charset val="2"/>
    </font>
    <font>
      <sz val="10"/>
      <color theme="0"/>
      <name val="Calibri"/>
      <family val="2"/>
      <scheme val="minor"/>
    </font>
    <font>
      <sz val="10"/>
      <color theme="1" tint="0.34998626667073579"/>
      <name val="Calibri"/>
      <family val="2"/>
      <scheme val="minor"/>
    </font>
    <font>
      <sz val="11"/>
      <color theme="0"/>
      <name val="Calibri Light"/>
      <family val="2"/>
      <scheme val="major"/>
    </font>
    <font>
      <sz val="11"/>
      <color theme="1"/>
      <name val="Calibri Light"/>
      <family val="2"/>
      <scheme val="major"/>
    </font>
    <font>
      <sz val="11"/>
      <color theme="0"/>
      <name val="Calibri Light"/>
      <family val="2"/>
    </font>
    <font>
      <sz val="10"/>
      <color theme="1"/>
      <name val="Calibri"/>
      <family val="2"/>
      <scheme val="minor"/>
    </font>
    <font>
      <sz val="11"/>
      <color theme="1" tint="0.34998626667073579"/>
      <name val="Webdings"/>
      <family val="1"/>
      <charset val="2"/>
    </font>
    <font>
      <sz val="10"/>
      <color rgb="FF29A315"/>
      <name val="Calibri"/>
      <family val="2"/>
      <scheme val="minor"/>
    </font>
    <font>
      <b/>
      <sz val="10"/>
      <color theme="1" tint="0.34998626667073579"/>
      <name val="Calibri"/>
      <family val="2"/>
      <scheme val="minor"/>
    </font>
    <font>
      <sz val="10"/>
      <color rgb="FF009BD2"/>
      <name val="Calibri"/>
      <family val="2"/>
      <scheme val="minor"/>
    </font>
    <font>
      <sz val="10"/>
      <color theme="5" tint="-0.249977111117893"/>
      <name val="Calibri"/>
      <family val="2"/>
      <scheme val="minor"/>
    </font>
    <font>
      <sz val="10"/>
      <color rgb="FF9C6B55"/>
      <name val="Calibri"/>
      <family val="2"/>
      <scheme val="minor"/>
    </font>
    <font>
      <b/>
      <sz val="10"/>
      <color rgb="FF009BD2"/>
      <name val="Calibri"/>
      <family val="2"/>
      <scheme val="minor"/>
    </font>
    <font>
      <sz val="22"/>
      <color theme="0"/>
      <name val="Calibri"/>
      <family val="2"/>
      <scheme val="minor"/>
    </font>
    <font>
      <b/>
      <sz val="10"/>
      <color rgb="FF29A315"/>
      <name val="Calibri"/>
      <family val="2"/>
      <scheme val="minor"/>
    </font>
    <font>
      <b/>
      <sz val="10"/>
      <color rgb="FF6B9CA9"/>
      <name val="Calibri"/>
      <family val="2"/>
      <scheme val="minor"/>
    </font>
    <font>
      <b/>
      <sz val="10"/>
      <color rgb="FFD5644B"/>
      <name val="Calibri"/>
      <family val="2"/>
      <scheme val="minor"/>
    </font>
    <font>
      <b/>
      <sz val="10"/>
      <color rgb="FF9C6B55"/>
      <name val="Calibri"/>
      <family val="2"/>
      <scheme val="minor"/>
    </font>
    <font>
      <b/>
      <sz val="9"/>
      <color indexed="81"/>
      <name val="Tahoma"/>
      <family val="2"/>
    </font>
    <font>
      <sz val="9"/>
      <color indexed="81"/>
      <name val="Tahoma"/>
      <family val="2"/>
    </font>
    <font>
      <b/>
      <sz val="10"/>
      <color theme="5" tint="-0.249977111117893"/>
      <name val="Calibri"/>
      <family val="2"/>
      <scheme val="minor"/>
    </font>
    <font>
      <sz val="10"/>
      <color rgb="FF002060"/>
      <name val="Calibri"/>
      <family val="2"/>
      <scheme val="minor"/>
    </font>
    <font>
      <b/>
      <sz val="9"/>
      <color theme="1"/>
      <name val="Gill Sans MT"/>
      <family val="2"/>
    </font>
    <font>
      <sz val="9"/>
      <color theme="1"/>
      <name val="Gill Sans MT"/>
      <family val="2"/>
    </font>
    <font>
      <i/>
      <sz val="9"/>
      <color theme="1"/>
      <name val="Gill Sans MT"/>
      <family val="2"/>
    </font>
    <font>
      <sz val="9"/>
      <name val="Gill Sans MT"/>
      <family val="2"/>
    </font>
    <font>
      <sz val="12"/>
      <color theme="0"/>
      <name val="Wingdings 2"/>
      <family val="1"/>
      <charset val="2"/>
    </font>
    <font>
      <sz val="14"/>
      <color rgb="FF3D2A46"/>
      <name val="Wingdings 2"/>
      <family val="1"/>
      <charset val="2"/>
    </font>
    <font>
      <sz val="10"/>
      <color rgb="FFFFC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00B050"/>
        <bgColor indexed="64"/>
      </patternFill>
    </fill>
    <fill>
      <patternFill patternType="solid">
        <fgColor theme="0" tint="-0.499984740745262"/>
        <bgColor indexed="64"/>
      </patternFill>
    </fill>
    <fill>
      <patternFill patternType="solid">
        <fgColor rgb="FFFFC000"/>
        <bgColor indexed="64"/>
      </patternFill>
    </fill>
    <fill>
      <patternFill patternType="solid">
        <fgColor theme="4"/>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D5644B"/>
        <bgColor indexed="64"/>
      </patternFill>
    </fill>
    <fill>
      <patternFill patternType="solid">
        <fgColor rgb="FF6B9CA9"/>
        <bgColor indexed="64"/>
      </patternFill>
    </fill>
    <fill>
      <patternFill patternType="solid">
        <fgColor rgb="FF9C6B55"/>
        <bgColor indexed="64"/>
      </patternFill>
    </fill>
    <fill>
      <patternFill patternType="solid">
        <fgColor rgb="FF3D2A46"/>
        <bgColor indexed="64"/>
      </patternFill>
    </fill>
    <fill>
      <patternFill patternType="solid">
        <fgColor rgb="FFF9F9F9"/>
        <bgColor indexed="64"/>
      </patternFill>
    </fill>
    <fill>
      <patternFill patternType="solid">
        <fgColor theme="5" tint="-0.499984740745262"/>
        <bgColor indexed="64"/>
      </patternFill>
    </fill>
    <fill>
      <patternFill patternType="solid">
        <fgColor rgb="FF29A315"/>
        <bgColor indexed="64"/>
      </patternFill>
    </fill>
    <fill>
      <patternFill patternType="solid">
        <fgColor rgb="FF00C85A"/>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s>
  <borders count="59">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theme="0" tint="-0.24994659260841701"/>
      </bottom>
      <diagonal/>
    </border>
    <border>
      <left/>
      <right style="medium">
        <color indexed="64"/>
      </right>
      <top/>
      <bottom style="thin">
        <color theme="0" tint="-0.24994659260841701"/>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style="medium">
        <color indexed="64"/>
      </right>
      <top style="thin">
        <color theme="0" tint="-0.24994659260841701"/>
      </top>
      <bottom style="medium">
        <color indexed="64"/>
      </bottom>
      <diagonal/>
    </border>
    <border>
      <left style="medium">
        <color indexed="64"/>
      </left>
      <right/>
      <top style="thin">
        <color theme="0" tint="-0.24994659260841701"/>
      </top>
      <bottom/>
      <diagonal/>
    </border>
    <border>
      <left/>
      <right style="medium">
        <color indexed="64"/>
      </right>
      <top style="thin">
        <color theme="0" tint="-0.2499465926084170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theme="0"/>
      </bottom>
      <diagonal/>
    </border>
    <border>
      <left/>
      <right/>
      <top style="dotted">
        <color theme="0"/>
      </top>
      <bottom style="dotted">
        <color theme="0"/>
      </bottom>
      <diagonal/>
    </border>
    <border>
      <left style="double">
        <color theme="0" tint="-0.14996795556505021"/>
      </left>
      <right style="double">
        <color theme="0" tint="-0.14996795556505021"/>
      </right>
      <top style="double">
        <color theme="0" tint="-0.14996795556505021"/>
      </top>
      <bottom style="double">
        <color theme="0" tint="-0.14996795556505021"/>
      </bottom>
      <diagonal/>
    </border>
    <border>
      <left style="double">
        <color theme="0" tint="-0.14993743705557422"/>
      </left>
      <right style="double">
        <color theme="0" tint="-0.14993743705557422"/>
      </right>
      <top style="double">
        <color theme="0" tint="-0.14993743705557422"/>
      </top>
      <bottom style="double">
        <color theme="0" tint="-0.14993743705557422"/>
      </bottom>
      <diagonal/>
    </border>
    <border>
      <left/>
      <right style="double">
        <color theme="0" tint="-0.14993743705557422"/>
      </right>
      <top style="thin">
        <color theme="0" tint="-0.14996795556505021"/>
      </top>
      <bottom style="thin">
        <color theme="0" tint="-0.14993743705557422"/>
      </bottom>
      <diagonal/>
    </border>
    <border>
      <left/>
      <right/>
      <top/>
      <bottom style="thin">
        <color theme="0"/>
      </bottom>
      <diagonal/>
    </border>
    <border>
      <left/>
      <right/>
      <top style="thin">
        <color theme="0"/>
      </top>
      <bottom style="thin">
        <color theme="0"/>
      </bottom>
      <diagonal/>
    </border>
    <border>
      <left style="double">
        <color theme="0" tint="-0.14996795556505021"/>
      </left>
      <right/>
      <top style="double">
        <color theme="0" tint="-0.14996795556505021"/>
      </top>
      <bottom style="double">
        <color theme="0" tint="-0.14996795556505021"/>
      </bottom>
      <diagonal/>
    </border>
    <border>
      <left/>
      <right style="double">
        <color theme="0" tint="-0.14996795556505021"/>
      </right>
      <top/>
      <bottom style="thin">
        <color theme="0" tint="-0.14996795556505021"/>
      </bottom>
      <diagonal/>
    </border>
    <border>
      <left/>
      <right style="double">
        <color theme="0" tint="-0.14996795556505021"/>
      </right>
      <top style="thin">
        <color theme="0" tint="-0.14996795556505021"/>
      </top>
      <bottom style="thin">
        <color theme="0" tint="-0.14996795556505021"/>
      </bottom>
      <diagonal/>
    </border>
    <border>
      <left/>
      <right/>
      <top/>
      <bottom style="thin">
        <color theme="0" tint="-0.14993743705557422"/>
      </bottom>
      <diagonal/>
    </border>
    <border>
      <left/>
      <right style="double">
        <color theme="0" tint="-0.14996795556505021"/>
      </right>
      <top style="thin">
        <color theme="0" tint="-0.14996795556505021"/>
      </top>
      <bottom/>
      <diagonal/>
    </border>
    <border>
      <left/>
      <right/>
      <top style="thin">
        <color theme="0" tint="-0.14993743705557422"/>
      </top>
      <bottom style="thin">
        <color theme="0" tint="-0.14990691854609822"/>
      </bottom>
      <diagonal/>
    </border>
    <border>
      <left/>
      <right/>
      <top style="thin">
        <color theme="0" tint="-0.14990691854609822"/>
      </top>
      <bottom style="thin">
        <color theme="0" tint="-0.14996795556505021"/>
      </bottom>
      <diagonal/>
    </border>
    <border>
      <left/>
      <right/>
      <top style="thin">
        <color theme="0" tint="-0.14993743705557422"/>
      </top>
      <bottom style="thin">
        <color theme="0" tint="-0.14996795556505021"/>
      </bottom>
      <diagonal/>
    </border>
    <border>
      <left style="double">
        <color theme="0" tint="-0.14990691854609822"/>
      </left>
      <right style="double">
        <color theme="0" tint="-0.14990691854609822"/>
      </right>
      <top style="double">
        <color theme="0" tint="-0.14990691854609822"/>
      </top>
      <bottom style="double">
        <color theme="0" tint="-0.14990691854609822"/>
      </bottom>
      <diagonal/>
    </border>
    <border>
      <left/>
      <right/>
      <top style="thin">
        <color theme="0" tint="-4.9989318521683403E-2"/>
      </top>
      <bottom/>
      <diagonal/>
    </border>
    <border>
      <left/>
      <right/>
      <top/>
      <bottom style="thin">
        <color theme="0" tint="-4.9989318521683403E-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304">
    <xf numFmtId="0" fontId="0" fillId="0" borderId="0" xfId="0"/>
    <xf numFmtId="164" fontId="2" fillId="2" borderId="0" xfId="1" applyNumberFormat="1" applyFont="1" applyFill="1" applyBorder="1" applyAlignment="1" applyProtection="1">
      <alignment horizontal="center"/>
      <protection hidden="1"/>
    </xf>
    <xf numFmtId="0" fontId="3" fillId="0" borderId="0" xfId="0" applyFont="1"/>
    <xf numFmtId="6" fontId="2" fillId="2" borderId="0" xfId="1" applyNumberFormat="1" applyFont="1" applyFill="1" applyBorder="1" applyAlignment="1" applyProtection="1">
      <alignment horizontal="center"/>
      <protection hidden="1"/>
    </xf>
    <xf numFmtId="0" fontId="12" fillId="0" borderId="0" xfId="0" applyFont="1"/>
    <xf numFmtId="0" fontId="0" fillId="0" borderId="0" xfId="0" applyFill="1"/>
    <xf numFmtId="0" fontId="0" fillId="0" borderId="0" xfId="0" applyFill="1" applyBorder="1"/>
    <xf numFmtId="0" fontId="0" fillId="0" borderId="0" xfId="0" applyBorder="1"/>
    <xf numFmtId="2" fontId="6" fillId="4" borderId="15" xfId="1" applyNumberFormat="1" applyFont="1" applyFill="1" applyBorder="1" applyAlignment="1" applyProtection="1">
      <alignment horizontal="right"/>
    </xf>
    <xf numFmtId="2" fontId="6" fillId="4" borderId="15" xfId="2" applyNumberFormat="1" applyFont="1" applyFill="1" applyBorder="1" applyAlignment="1" applyProtection="1">
      <alignment horizontal="right"/>
    </xf>
    <xf numFmtId="2" fontId="6" fillId="4" borderId="19" xfId="2" applyNumberFormat="1" applyFont="1" applyFill="1" applyBorder="1" applyAlignment="1" applyProtection="1">
      <alignment horizontal="right"/>
    </xf>
    <xf numFmtId="2" fontId="6" fillId="4" borderId="17" xfId="2" applyNumberFormat="1" applyFont="1" applyFill="1" applyBorder="1" applyAlignment="1" applyProtection="1">
      <alignment horizontal="right"/>
    </xf>
    <xf numFmtId="0" fontId="5" fillId="0" borderId="0" xfId="0" applyFont="1" applyFill="1" applyBorder="1" applyAlignment="1">
      <alignment horizontal="center"/>
    </xf>
    <xf numFmtId="0" fontId="5" fillId="0" borderId="0" xfId="0" applyFont="1" applyFill="1" applyBorder="1"/>
    <xf numFmtId="0" fontId="12" fillId="0" borderId="0" xfId="0" applyFont="1" applyFill="1" applyBorder="1"/>
    <xf numFmtId="165" fontId="0" fillId="0" borderId="0" xfId="1" applyNumberFormat="1" applyFont="1" applyFill="1" applyBorder="1" applyProtection="1">
      <protection locked="0"/>
    </xf>
    <xf numFmtId="165" fontId="0" fillId="0" borderId="0" xfId="1" applyNumberFormat="1" applyFont="1" applyFill="1" applyBorder="1" applyProtection="1"/>
    <xf numFmtId="0" fontId="5" fillId="0" borderId="0" xfId="0" applyFont="1" applyFill="1" applyBorder="1" applyAlignment="1" applyProtection="1">
      <alignment horizontal="center"/>
    </xf>
    <xf numFmtId="9" fontId="6" fillId="0" borderId="0" xfId="0" applyNumberFormat="1" applyFont="1" applyFill="1" applyBorder="1" applyProtection="1"/>
    <xf numFmtId="167" fontId="6" fillId="0" borderId="0" xfId="0" applyNumberFormat="1" applyFont="1" applyFill="1" applyBorder="1" applyProtection="1"/>
    <xf numFmtId="166" fontId="6" fillId="0" borderId="0" xfId="1" applyNumberFormat="1" applyFont="1" applyFill="1" applyBorder="1" applyAlignment="1" applyProtection="1">
      <alignment horizontal="center"/>
    </xf>
    <xf numFmtId="9" fontId="6" fillId="0" borderId="0" xfId="2" applyNumberFormat="1" applyFont="1" applyFill="1" applyBorder="1" applyAlignment="1" applyProtection="1">
      <alignment horizontal="right"/>
    </xf>
    <xf numFmtId="2" fontId="6" fillId="0" borderId="0" xfId="1" applyNumberFormat="1" applyFont="1" applyFill="1" applyBorder="1" applyAlignment="1" applyProtection="1">
      <alignment horizontal="right"/>
    </xf>
    <xf numFmtId="2" fontId="6" fillId="0" borderId="0" xfId="2" applyNumberFormat="1" applyFont="1" applyFill="1" applyBorder="1" applyAlignment="1" applyProtection="1">
      <alignment horizontal="right"/>
    </xf>
    <xf numFmtId="9" fontId="6" fillId="7" borderId="13" xfId="0" applyNumberFormat="1" applyFont="1" applyFill="1" applyBorder="1" applyProtection="1"/>
    <xf numFmtId="167" fontId="6" fillId="4" borderId="13" xfId="3" applyNumberFormat="1" applyFont="1" applyFill="1" applyBorder="1" applyAlignment="1" applyProtection="1">
      <alignment horizontal="right"/>
    </xf>
    <xf numFmtId="167" fontId="6" fillId="4" borderId="15" xfId="3" applyNumberFormat="1" applyFont="1" applyFill="1" applyBorder="1" applyAlignment="1" applyProtection="1">
      <alignment horizontal="right"/>
    </xf>
    <xf numFmtId="167" fontId="6" fillId="4" borderId="17" xfId="3" applyNumberFormat="1" applyFont="1" applyFill="1" applyBorder="1" applyAlignment="1" applyProtection="1">
      <alignment horizontal="right"/>
    </xf>
    <xf numFmtId="0" fontId="3" fillId="0" borderId="0" xfId="0" applyFont="1" applyFill="1" applyBorder="1" applyAlignment="1"/>
    <xf numFmtId="0" fontId="0" fillId="10" borderId="0" xfId="0" applyFill="1" applyAlignment="1" applyProtection="1">
      <alignment vertical="center"/>
    </xf>
    <xf numFmtId="0" fontId="16" fillId="10" borderId="0" xfId="0" applyFont="1" applyFill="1" applyAlignment="1" applyProtection="1">
      <alignment horizontal="center" vertical="center"/>
    </xf>
    <xf numFmtId="0" fontId="13" fillId="10" borderId="0" xfId="0" applyFont="1" applyFill="1" applyAlignment="1" applyProtection="1">
      <alignment horizontal="center" vertical="center"/>
    </xf>
    <xf numFmtId="0" fontId="0" fillId="10" borderId="0" xfId="0" applyFill="1" applyBorder="1" applyAlignment="1" applyProtection="1">
      <alignment vertical="center"/>
    </xf>
    <xf numFmtId="0" fontId="11" fillId="10" borderId="0" xfId="4" applyFont="1" applyFill="1" applyAlignment="1" applyProtection="1">
      <alignment vertical="center"/>
    </xf>
    <xf numFmtId="0" fontId="10" fillId="10" borderId="0" xfId="0" applyFont="1" applyFill="1" applyAlignment="1" applyProtection="1">
      <alignment horizontal="center" vertical="center"/>
    </xf>
    <xf numFmtId="0" fontId="3" fillId="10" borderId="0" xfId="0" applyFont="1" applyFill="1" applyAlignment="1" applyProtection="1">
      <alignment horizontal="center" vertical="center"/>
    </xf>
    <xf numFmtId="0" fontId="0" fillId="10" borderId="0" xfId="0" applyFill="1" applyAlignment="1" applyProtection="1">
      <alignment horizontal="center" vertical="center"/>
    </xf>
    <xf numFmtId="164" fontId="1" fillId="10" borderId="0" xfId="1" applyNumberFormat="1" applyFont="1" applyFill="1" applyBorder="1" applyAlignment="1" applyProtection="1">
      <alignment horizontal="center" vertical="center"/>
    </xf>
    <xf numFmtId="164" fontId="0" fillId="10" borderId="0" xfId="1" applyNumberFormat="1" applyFont="1" applyFill="1" applyBorder="1" applyAlignment="1" applyProtection="1">
      <alignment horizontal="center" vertical="center"/>
    </xf>
    <xf numFmtId="166" fontId="1" fillId="10" borderId="0" xfId="0" applyNumberFormat="1" applyFont="1" applyFill="1" applyAlignment="1" applyProtection="1">
      <alignment vertical="center"/>
    </xf>
    <xf numFmtId="0" fontId="2" fillId="10" borderId="0" xfId="0" applyFont="1" applyFill="1" applyAlignment="1" applyProtection="1">
      <alignment vertical="center"/>
    </xf>
    <xf numFmtId="164" fontId="2" fillId="10" borderId="0" xfId="1" applyNumberFormat="1" applyFont="1" applyFill="1" applyBorder="1" applyAlignment="1" applyProtection="1">
      <alignment horizontal="center" vertical="center"/>
    </xf>
    <xf numFmtId="9" fontId="2" fillId="10" borderId="0" xfId="0" applyNumberFormat="1" applyFont="1" applyFill="1" applyAlignment="1" applyProtection="1">
      <alignment vertical="center"/>
    </xf>
    <xf numFmtId="167" fontId="0" fillId="10" borderId="0" xfId="0" applyNumberFormat="1" applyFill="1" applyAlignment="1" applyProtection="1">
      <alignment vertical="center"/>
    </xf>
    <xf numFmtId="0" fontId="1" fillId="10" borderId="0" xfId="0" applyFont="1" applyFill="1" applyAlignment="1" applyProtection="1">
      <alignment vertical="center"/>
    </xf>
    <xf numFmtId="165" fontId="1" fillId="10" borderId="0" xfId="1" applyNumberFormat="1" applyFont="1" applyFill="1" applyAlignment="1" applyProtection="1">
      <alignment vertical="center"/>
    </xf>
    <xf numFmtId="167" fontId="0" fillId="10" borderId="0" xfId="3" applyNumberFormat="1" applyFont="1" applyFill="1" applyAlignment="1" applyProtection="1">
      <alignment vertical="center"/>
    </xf>
    <xf numFmtId="9" fontId="0" fillId="10" borderId="0" xfId="3" applyFont="1" applyFill="1" applyAlignment="1" applyProtection="1">
      <alignment vertical="center"/>
    </xf>
    <xf numFmtId="0" fontId="8" fillId="10" borderId="0" xfId="0" applyFont="1" applyFill="1" applyAlignment="1" applyProtection="1">
      <alignment vertical="center"/>
    </xf>
    <xf numFmtId="0" fontId="9" fillId="10" borderId="0" xfId="4" applyFont="1" applyFill="1" applyAlignment="1" applyProtection="1">
      <alignment vertical="center"/>
    </xf>
    <xf numFmtId="0" fontId="22" fillId="10" borderId="0" xfId="0" applyFont="1" applyFill="1" applyAlignment="1" applyProtection="1">
      <alignment horizontal="right" vertical="center"/>
    </xf>
    <xf numFmtId="0" fontId="24" fillId="10" borderId="0" xfId="0" applyFont="1" applyFill="1" applyAlignment="1" applyProtection="1">
      <alignment vertical="top"/>
    </xf>
    <xf numFmtId="0" fontId="0" fillId="14" borderId="0" xfId="0" applyFill="1" applyAlignment="1" applyProtection="1">
      <alignment vertical="center"/>
    </xf>
    <xf numFmtId="0" fontId="27" fillId="10" borderId="0" xfId="0" applyFont="1" applyFill="1" applyAlignment="1" applyProtection="1">
      <alignment vertical="center"/>
    </xf>
    <xf numFmtId="0" fontId="27" fillId="10" borderId="6" xfId="0" applyFont="1" applyFill="1" applyBorder="1" applyAlignment="1" applyProtection="1">
      <alignment vertical="center"/>
    </xf>
    <xf numFmtId="0" fontId="27" fillId="10" borderId="0" xfId="0" applyFont="1" applyFill="1" applyBorder="1" applyAlignment="1" applyProtection="1">
      <alignment vertical="center"/>
    </xf>
    <xf numFmtId="167" fontId="8" fillId="10" borderId="0" xfId="3" applyNumberFormat="1" applyFont="1" applyFill="1" applyAlignment="1" applyProtection="1">
      <alignment vertical="center"/>
    </xf>
    <xf numFmtId="0" fontId="0" fillId="12" borderId="28" xfId="0" applyFill="1" applyBorder="1" applyAlignment="1" applyProtection="1">
      <alignment vertical="center"/>
    </xf>
    <xf numFmtId="0" fontId="26" fillId="10" borderId="0" xfId="0" applyFont="1" applyFill="1" applyBorder="1" applyAlignment="1" applyProtection="1">
      <alignment horizontal="center" vertical="center"/>
    </xf>
    <xf numFmtId="0" fontId="0" fillId="10" borderId="5" xfId="0" applyFill="1" applyBorder="1" applyAlignment="1" applyProtection="1">
      <alignment vertical="center"/>
    </xf>
    <xf numFmtId="0" fontId="20" fillId="14" borderId="0" xfId="0" applyFont="1" applyFill="1" applyAlignment="1" applyProtection="1">
      <alignment vertical="top"/>
    </xf>
    <xf numFmtId="0" fontId="20" fillId="14" borderId="38" xfId="0" applyFont="1" applyFill="1" applyBorder="1" applyAlignment="1" applyProtection="1">
      <alignment vertical="top"/>
    </xf>
    <xf numFmtId="0" fontId="30" fillId="10" borderId="0" xfId="0" applyFont="1" applyFill="1" applyAlignment="1" applyProtection="1">
      <alignment horizontal="center" vertical="center"/>
    </xf>
    <xf numFmtId="0" fontId="27" fillId="10" borderId="22" xfId="0" applyFont="1" applyFill="1" applyBorder="1" applyAlignment="1" applyProtection="1">
      <alignment vertical="center"/>
    </xf>
    <xf numFmtId="0" fontId="27" fillId="10" borderId="23" xfId="0" applyFont="1" applyFill="1" applyBorder="1" applyAlignment="1" applyProtection="1">
      <alignment vertical="center"/>
    </xf>
    <xf numFmtId="0" fontId="12" fillId="8" borderId="0" xfId="0" applyFont="1" applyFill="1" applyBorder="1" applyAlignment="1" applyProtection="1">
      <alignment vertical="center"/>
    </xf>
    <xf numFmtId="0" fontId="25" fillId="14" borderId="0" xfId="0" applyFont="1" applyFill="1" applyAlignment="1" applyProtection="1">
      <alignment vertical="top"/>
    </xf>
    <xf numFmtId="0" fontId="36" fillId="6" borderId="4" xfId="0" applyFont="1" applyFill="1" applyBorder="1" applyAlignment="1" applyProtection="1">
      <alignment horizontal="center" vertical="center"/>
    </xf>
    <xf numFmtId="0" fontId="37" fillId="9" borderId="4" xfId="0" applyFont="1" applyFill="1" applyBorder="1" applyAlignment="1" applyProtection="1">
      <alignment horizontal="center" vertical="center"/>
    </xf>
    <xf numFmtId="0" fontId="27" fillId="10" borderId="5" xfId="0" applyFont="1" applyFill="1" applyBorder="1" applyAlignment="1" applyProtection="1">
      <alignment vertical="center"/>
    </xf>
    <xf numFmtId="0" fontId="31" fillId="14" borderId="0" xfId="0" applyFont="1" applyFill="1" applyBorder="1" applyAlignment="1" applyProtection="1">
      <alignment vertical="center"/>
    </xf>
    <xf numFmtId="168" fontId="34" fillId="15" borderId="25" xfId="0" applyNumberFormat="1" applyFont="1" applyFill="1" applyBorder="1" applyAlignment="1" applyProtection="1">
      <alignment horizontal="right" vertical="center"/>
      <protection locked="0"/>
    </xf>
    <xf numFmtId="168" fontId="34" fillId="10" borderId="5" xfId="1" applyNumberFormat="1" applyFont="1" applyFill="1" applyBorder="1" applyAlignment="1" applyProtection="1">
      <alignment horizontal="right" vertical="center"/>
    </xf>
    <xf numFmtId="168" fontId="34" fillId="10" borderId="6" xfId="1" applyNumberFormat="1" applyFont="1" applyFill="1" applyBorder="1" applyAlignment="1" applyProtection="1">
      <alignment horizontal="right" vertical="center"/>
    </xf>
    <xf numFmtId="168" fontId="34" fillId="10" borderId="7" xfId="1" applyNumberFormat="1" applyFont="1" applyFill="1" applyBorder="1" applyAlignment="1" applyProtection="1">
      <alignment horizontal="right" vertical="center"/>
    </xf>
    <xf numFmtId="0" fontId="0" fillId="10" borderId="0" xfId="0" applyFont="1" applyFill="1" applyAlignment="1" applyProtection="1">
      <alignment vertical="center"/>
    </xf>
    <xf numFmtId="168" fontId="27" fillId="10" borderId="6" xfId="1" applyNumberFormat="1" applyFont="1" applyFill="1" applyBorder="1" applyAlignment="1" applyProtection="1">
      <alignment horizontal="right" vertical="center"/>
    </xf>
    <xf numFmtId="2" fontId="31" fillId="14" borderId="0" xfId="0" applyNumberFormat="1" applyFont="1" applyFill="1" applyBorder="1" applyAlignment="1" applyProtection="1">
      <alignment horizontal="center" vertical="center"/>
    </xf>
    <xf numFmtId="168" fontId="31" fillId="14" borderId="0" xfId="1" applyNumberFormat="1" applyFont="1" applyFill="1" applyBorder="1" applyAlignment="1" applyProtection="1">
      <alignment horizontal="right" vertical="center"/>
    </xf>
    <xf numFmtId="0" fontId="27" fillId="10" borderId="0" xfId="0" applyFont="1" applyFill="1" applyAlignment="1" applyProtection="1">
      <alignment horizontal="right" vertical="center"/>
    </xf>
    <xf numFmtId="0" fontId="34" fillId="15" borderId="24" xfId="0" applyFont="1" applyFill="1" applyBorder="1" applyAlignment="1" applyProtection="1">
      <alignment vertical="center"/>
      <protection locked="0"/>
    </xf>
    <xf numFmtId="0" fontId="34" fillId="15" borderId="24" xfId="0" applyFont="1" applyFill="1" applyBorder="1" applyAlignment="1" applyProtection="1">
      <alignment horizontal="center" vertical="center"/>
      <protection locked="0"/>
    </xf>
    <xf numFmtId="0" fontId="34" fillId="10" borderId="32" xfId="0" applyFont="1" applyFill="1" applyBorder="1" applyAlignment="1" applyProtection="1">
      <alignment horizontal="center" vertical="center"/>
    </xf>
    <xf numFmtId="168" fontId="34" fillId="10" borderId="32" xfId="1" applyNumberFormat="1" applyFont="1" applyFill="1" applyBorder="1" applyAlignment="1" applyProtection="1">
      <alignment horizontal="right" vertical="center"/>
    </xf>
    <xf numFmtId="165" fontId="34" fillId="10" borderId="34" xfId="1" applyNumberFormat="1" applyFont="1" applyFill="1" applyBorder="1" applyAlignment="1" applyProtection="1">
      <alignment horizontal="center" vertical="center"/>
    </xf>
    <xf numFmtId="168" fontId="34" fillId="10" borderId="34" xfId="1" applyNumberFormat="1" applyFont="1" applyFill="1" applyBorder="1" applyAlignment="1" applyProtection="1">
      <alignment vertical="center"/>
    </xf>
    <xf numFmtId="168" fontId="34" fillId="10" borderId="34" xfId="1" applyNumberFormat="1" applyFont="1" applyFill="1" applyBorder="1" applyAlignment="1" applyProtection="1">
      <alignment horizontal="right" vertical="center"/>
    </xf>
    <xf numFmtId="168" fontId="34" fillId="10" borderId="0" xfId="1" applyNumberFormat="1" applyFont="1" applyFill="1" applyBorder="1" applyAlignment="1" applyProtection="1">
      <alignment vertical="center"/>
    </xf>
    <xf numFmtId="168" fontId="34" fillId="10" borderId="35" xfId="1" applyNumberFormat="1" applyFont="1" applyFill="1" applyBorder="1" applyAlignment="1" applyProtection="1">
      <alignment horizontal="right" vertical="center"/>
    </xf>
    <xf numFmtId="0" fontId="40" fillId="10" borderId="6" xfId="0" applyFont="1" applyFill="1" applyBorder="1" applyAlignment="1" applyProtection="1">
      <alignment vertical="center"/>
    </xf>
    <xf numFmtId="0" fontId="34" fillId="10" borderId="5" xfId="0" applyFont="1" applyFill="1" applyBorder="1" applyAlignment="1" applyProtection="1">
      <alignment vertical="center"/>
    </xf>
    <xf numFmtId="0" fontId="34" fillId="10" borderId="6" xfId="0" applyFont="1" applyFill="1" applyBorder="1" applyAlignment="1" applyProtection="1">
      <alignment vertical="center"/>
    </xf>
    <xf numFmtId="0" fontId="40" fillId="10" borderId="0" xfId="0" applyFont="1" applyFill="1" applyBorder="1" applyAlignment="1" applyProtection="1">
      <alignment vertical="center"/>
    </xf>
    <xf numFmtId="0" fontId="27" fillId="10" borderId="0" xfId="0" applyFont="1" applyFill="1" applyBorder="1" applyAlignment="1" applyProtection="1">
      <alignment horizontal="center" vertical="center"/>
    </xf>
    <xf numFmtId="0" fontId="27" fillId="10" borderId="6" xfId="0" applyFont="1" applyFill="1" applyBorder="1" applyAlignment="1" applyProtection="1">
      <alignment horizontal="center" vertical="center"/>
    </xf>
    <xf numFmtId="0" fontId="27" fillId="10" borderId="5" xfId="0" applyFont="1" applyFill="1" applyBorder="1" applyAlignment="1" applyProtection="1">
      <alignment horizontal="center" vertical="center"/>
    </xf>
    <xf numFmtId="168" fontId="27" fillId="10" borderId="0" xfId="1" applyNumberFormat="1" applyFont="1" applyFill="1" applyBorder="1" applyAlignment="1" applyProtection="1">
      <alignment horizontal="right" vertical="center"/>
    </xf>
    <xf numFmtId="0" fontId="31" fillId="14" borderId="0" xfId="0" applyFont="1" applyFill="1" applyBorder="1" applyAlignment="1" applyProtection="1">
      <alignment horizontal="center" vertical="center"/>
    </xf>
    <xf numFmtId="0" fontId="19" fillId="12" borderId="28" xfId="0" applyFont="1" applyFill="1" applyBorder="1" applyAlignment="1" applyProtection="1">
      <alignment vertical="center"/>
    </xf>
    <xf numFmtId="168" fontId="34" fillId="15" borderId="37" xfId="1" applyNumberFormat="1" applyFont="1" applyFill="1" applyBorder="1" applyAlignment="1" applyProtection="1">
      <alignment horizontal="right" vertical="center"/>
      <protection locked="0"/>
    </xf>
    <xf numFmtId="2" fontId="34" fillId="15" borderId="37" xfId="0" applyNumberFormat="1" applyFont="1" applyFill="1" applyBorder="1" applyAlignment="1" applyProtection="1">
      <alignment horizontal="center" vertical="center"/>
      <protection locked="0"/>
    </xf>
    <xf numFmtId="0" fontId="3" fillId="10" borderId="0" xfId="0" applyFont="1" applyFill="1" applyBorder="1" applyAlignment="1" applyProtection="1">
      <alignment horizontal="center" vertical="center"/>
    </xf>
    <xf numFmtId="0" fontId="41" fillId="10" borderId="32" xfId="0" applyFont="1" applyFill="1" applyBorder="1" applyAlignment="1" applyProtection="1">
      <alignment vertical="center"/>
    </xf>
    <xf numFmtId="0" fontId="41" fillId="10" borderId="36" xfId="0" applyFont="1" applyFill="1" applyBorder="1" applyAlignment="1" applyProtection="1">
      <alignment vertical="center"/>
    </xf>
    <xf numFmtId="2" fontId="34" fillId="15" borderId="25" xfId="0" applyNumberFormat="1" applyFont="1" applyFill="1" applyBorder="1" applyAlignment="1" applyProtection="1">
      <alignment horizontal="center" vertical="center"/>
      <protection locked="0"/>
    </xf>
    <xf numFmtId="0" fontId="38" fillId="10" borderId="5" xfId="0" applyFont="1" applyFill="1" applyBorder="1" applyAlignment="1" applyProtection="1">
      <alignment horizontal="center" vertical="center"/>
    </xf>
    <xf numFmtId="0" fontId="38" fillId="10" borderId="6" xfId="0" applyFont="1" applyFill="1" applyBorder="1" applyAlignment="1" applyProtection="1">
      <alignment horizontal="center" vertical="center"/>
    </xf>
    <xf numFmtId="0" fontId="38" fillId="10" borderId="7" xfId="0" applyFont="1" applyFill="1" applyBorder="1" applyAlignment="1" applyProtection="1">
      <alignment horizontal="center" vertical="center"/>
    </xf>
    <xf numFmtId="0" fontId="45" fillId="10" borderId="5" xfId="0" applyFont="1" applyFill="1" applyBorder="1" applyAlignment="1" applyProtection="1">
      <alignment vertical="center"/>
    </xf>
    <xf numFmtId="0" fontId="34" fillId="10" borderId="26" xfId="0" applyFont="1" applyFill="1" applyBorder="1" applyAlignment="1" applyProtection="1">
      <alignment vertical="center"/>
    </xf>
    <xf numFmtId="0" fontId="41" fillId="10" borderId="5" xfId="0" applyFont="1" applyFill="1" applyBorder="1" applyAlignment="1" applyProtection="1">
      <alignment vertical="center"/>
    </xf>
    <xf numFmtId="0" fontId="45" fillId="10" borderId="6" xfId="0" applyFont="1" applyFill="1" applyBorder="1" applyAlignment="1" applyProtection="1">
      <alignment vertical="center"/>
    </xf>
    <xf numFmtId="0" fontId="41" fillId="10" borderId="6" xfId="0" applyFont="1" applyFill="1" applyBorder="1" applyAlignment="1" applyProtection="1">
      <alignment vertical="center"/>
    </xf>
    <xf numFmtId="0" fontId="47" fillId="10" borderId="6" xfId="0" applyFont="1" applyFill="1" applyBorder="1" applyAlignment="1" applyProtection="1">
      <alignment vertical="center"/>
    </xf>
    <xf numFmtId="0" fontId="47" fillId="10" borderId="7" xfId="0" applyFont="1" applyFill="1" applyBorder="1" applyAlignment="1" applyProtection="1">
      <alignment vertical="center"/>
    </xf>
    <xf numFmtId="0" fontId="31" fillId="8" borderId="40" xfId="0" applyFont="1" applyFill="1" applyBorder="1" applyAlignment="1" applyProtection="1">
      <alignment vertical="center"/>
    </xf>
    <xf numFmtId="0" fontId="31" fillId="8" borderId="40" xfId="0" applyFont="1" applyFill="1" applyBorder="1" applyAlignment="1" applyProtection="1">
      <alignment horizontal="center" vertical="center"/>
    </xf>
    <xf numFmtId="0" fontId="34" fillId="10" borderId="40" xfId="0" applyFont="1" applyFill="1" applyBorder="1" applyAlignment="1" applyProtection="1">
      <alignment vertical="center"/>
    </xf>
    <xf numFmtId="9" fontId="34" fillId="10" borderId="40" xfId="0" applyNumberFormat="1" applyFont="1" applyFill="1" applyBorder="1" applyAlignment="1" applyProtection="1">
      <alignment horizontal="right" vertical="center"/>
    </xf>
    <xf numFmtId="0" fontId="42" fillId="10" borderId="40" xfId="0" applyFont="1" applyFill="1" applyBorder="1" applyAlignment="1" applyProtection="1">
      <alignment vertical="center"/>
    </xf>
    <xf numFmtId="0" fontId="43" fillId="10" borderId="40" xfId="0" applyFont="1" applyFill="1" applyBorder="1" applyAlignment="1" applyProtection="1">
      <alignment vertical="center"/>
    </xf>
    <xf numFmtId="0" fontId="40" fillId="10" borderId="40" xfId="0" applyFont="1" applyFill="1" applyBorder="1" applyAlignment="1" applyProtection="1">
      <alignment vertical="center"/>
    </xf>
    <xf numFmtId="0" fontId="44" fillId="10" borderId="40" xfId="0" applyFont="1" applyFill="1" applyBorder="1" applyAlignment="1" applyProtection="1">
      <alignment vertical="center"/>
    </xf>
    <xf numFmtId="168" fontId="31" fillId="14" borderId="0" xfId="1" applyNumberFormat="1" applyFont="1" applyFill="1" applyBorder="1" applyAlignment="1" applyProtection="1">
      <alignment vertical="center"/>
    </xf>
    <xf numFmtId="168" fontId="31" fillId="14" borderId="0" xfId="0" applyNumberFormat="1" applyFont="1" applyFill="1" applyBorder="1" applyAlignment="1" applyProtection="1">
      <alignment vertical="center"/>
    </xf>
    <xf numFmtId="0" fontId="29" fillId="10" borderId="0" xfId="0" applyFont="1" applyFill="1" applyAlignment="1" applyProtection="1">
      <alignment vertical="center"/>
    </xf>
    <xf numFmtId="168" fontId="8" fillId="10" borderId="0" xfId="0" applyNumberFormat="1" applyFont="1" applyFill="1" applyAlignment="1" applyProtection="1">
      <alignment vertical="center"/>
    </xf>
    <xf numFmtId="0" fontId="33" fillId="14" borderId="0" xfId="0" applyFont="1" applyFill="1" applyAlignment="1" applyProtection="1">
      <alignment horizontal="right" vertical="top"/>
    </xf>
    <xf numFmtId="170" fontId="33" fillId="14" borderId="0" xfId="0" applyNumberFormat="1" applyFont="1" applyFill="1" applyAlignment="1" applyProtection="1">
      <alignment horizontal="left" vertical="top"/>
    </xf>
    <xf numFmtId="0" fontId="0" fillId="3" borderId="0" xfId="0" applyFill="1"/>
    <xf numFmtId="0" fontId="50" fillId="10" borderId="0" xfId="0" applyFont="1" applyFill="1" applyAlignment="1" applyProtection="1">
      <alignment vertical="center"/>
    </xf>
    <xf numFmtId="0" fontId="0" fillId="0" borderId="9" xfId="0" applyBorder="1"/>
    <xf numFmtId="0" fontId="0" fillId="0" borderId="45" xfId="0" applyBorder="1"/>
    <xf numFmtId="165" fontId="3" fillId="3" borderId="9" xfId="1" applyNumberFormat="1" applyFont="1" applyFill="1" applyBorder="1" applyProtection="1">
      <protection locked="0"/>
    </xf>
    <xf numFmtId="0" fontId="17" fillId="0" borderId="43" xfId="0" applyFont="1" applyBorder="1" applyAlignment="1">
      <alignment horizontal="center"/>
    </xf>
    <xf numFmtId="0" fontId="17" fillId="0" borderId="44" xfId="0" applyFont="1" applyBorder="1" applyAlignment="1">
      <alignment horizontal="center"/>
    </xf>
    <xf numFmtId="0" fontId="0" fillId="0" borderId="46" xfId="0" applyBorder="1"/>
    <xf numFmtId="0" fontId="0" fillId="0" borderId="48" xfId="0" applyBorder="1"/>
    <xf numFmtId="0" fontId="0" fillId="0" borderId="49" xfId="0" applyBorder="1"/>
    <xf numFmtId="0" fontId="0" fillId="0" borderId="43" xfId="0" applyBorder="1"/>
    <xf numFmtId="0" fontId="0" fillId="0" borderId="44" xfId="0" applyBorder="1"/>
    <xf numFmtId="0" fontId="0" fillId="0" borderId="47" xfId="0" applyFill="1" applyBorder="1"/>
    <xf numFmtId="0" fontId="0" fillId="0" borderId="50" xfId="0" applyFill="1" applyBorder="1"/>
    <xf numFmtId="9" fontId="0" fillId="0" borderId="0" xfId="3" applyFont="1"/>
    <xf numFmtId="0" fontId="0" fillId="0" borderId="0" xfId="0" applyAlignment="1">
      <alignment wrapText="1"/>
    </xf>
    <xf numFmtId="165" fontId="3" fillId="0" borderId="9" xfId="1" applyNumberFormat="1" applyFont="1" applyFill="1" applyBorder="1" applyProtection="1"/>
    <xf numFmtId="165" fontId="3" fillId="0" borderId="49" xfId="1" applyNumberFormat="1" applyFont="1" applyFill="1" applyBorder="1" applyProtection="1"/>
    <xf numFmtId="0" fontId="0" fillId="0" borderId="0" xfId="0" applyAlignment="1">
      <alignment horizontal="center" vertical="center"/>
    </xf>
    <xf numFmtId="15" fontId="0" fillId="0" borderId="0" xfId="0" applyNumberFormat="1" applyAlignment="1">
      <alignment horizontal="center" vertical="center"/>
    </xf>
    <xf numFmtId="9" fontId="27" fillId="10" borderId="0" xfId="3" applyFont="1" applyFill="1" applyAlignment="1" applyProtection="1">
      <alignment vertical="center"/>
    </xf>
    <xf numFmtId="0" fontId="21" fillId="0" borderId="0" xfId="0" applyFont="1" applyFill="1" applyAlignment="1">
      <alignment horizontal="right"/>
    </xf>
    <xf numFmtId="0" fontId="4" fillId="0" borderId="12" xfId="0" applyFont="1" applyFill="1" applyBorder="1" applyAlignment="1" applyProtection="1">
      <alignment horizontal="right"/>
    </xf>
    <xf numFmtId="0" fontId="4" fillId="0" borderId="14" xfId="0" applyFont="1" applyFill="1" applyBorder="1" applyAlignment="1" applyProtection="1">
      <alignment horizontal="right"/>
    </xf>
    <xf numFmtId="0" fontId="4" fillId="0" borderId="16" xfId="0" applyFont="1" applyFill="1" applyBorder="1" applyAlignment="1" applyProtection="1">
      <alignment horizontal="right"/>
    </xf>
    <xf numFmtId="0" fontId="4" fillId="0" borderId="18" xfId="0" applyFont="1" applyFill="1" applyBorder="1" applyAlignment="1" applyProtection="1">
      <alignment horizontal="right"/>
    </xf>
    <xf numFmtId="0" fontId="0" fillId="0" borderId="46" xfId="0" applyFill="1" applyBorder="1" applyAlignment="1">
      <alignment horizontal="right"/>
    </xf>
    <xf numFmtId="0" fontId="0" fillId="0" borderId="46" xfId="0" applyBorder="1" applyAlignment="1">
      <alignment horizontal="right"/>
    </xf>
    <xf numFmtId="0" fontId="0" fillId="0" borderId="48" xfId="0" applyBorder="1" applyAlignment="1">
      <alignment horizontal="right"/>
    </xf>
    <xf numFmtId="0" fontId="0" fillId="0" borderId="9" xfId="0" applyFill="1" applyBorder="1" applyAlignment="1">
      <alignment horizontal="right"/>
    </xf>
    <xf numFmtId="0" fontId="0" fillId="0" borderId="49" xfId="0" applyFill="1" applyBorder="1" applyAlignment="1">
      <alignment horizontal="right"/>
    </xf>
    <xf numFmtId="0" fontId="48" fillId="10" borderId="0" xfId="0" applyFont="1" applyFill="1" applyAlignment="1" applyProtection="1">
      <alignment vertical="center"/>
    </xf>
    <xf numFmtId="0" fontId="49" fillId="10" borderId="0" xfId="0" applyFont="1" applyFill="1" applyAlignment="1" applyProtection="1">
      <alignment vertical="center"/>
    </xf>
    <xf numFmtId="167" fontId="8" fillId="10" borderId="0" xfId="0" applyNumberFormat="1" applyFont="1" applyFill="1" applyAlignment="1" applyProtection="1">
      <alignment vertical="center"/>
    </xf>
    <xf numFmtId="9" fontId="8" fillId="10" borderId="0" xfId="3" applyFont="1" applyFill="1" applyAlignment="1" applyProtection="1">
      <alignment vertical="center"/>
    </xf>
    <xf numFmtId="0" fontId="4" fillId="10" borderId="0" xfId="0" applyFont="1" applyFill="1" applyAlignment="1" applyProtection="1">
      <alignment vertical="center"/>
    </xf>
    <xf numFmtId="0" fontId="0" fillId="10" borderId="7" xfId="0" applyFill="1" applyBorder="1" applyAlignment="1" applyProtection="1">
      <alignment vertical="center"/>
    </xf>
    <xf numFmtId="6" fontId="27" fillId="10" borderId="22" xfId="2" applyNumberFormat="1" applyFont="1" applyFill="1" applyBorder="1" applyAlignment="1" applyProtection="1">
      <alignment horizontal="right" vertical="center"/>
    </xf>
    <xf numFmtId="6" fontId="27" fillId="10" borderId="23" xfId="2" applyNumberFormat="1" applyFont="1" applyFill="1" applyBorder="1" applyAlignment="1" applyProtection="1">
      <alignment horizontal="right" vertical="center"/>
    </xf>
    <xf numFmtId="6" fontId="27" fillId="10" borderId="0" xfId="2" applyNumberFormat="1" applyFont="1" applyFill="1" applyBorder="1" applyAlignment="1" applyProtection="1">
      <alignment horizontal="right" vertical="center"/>
    </xf>
    <xf numFmtId="167" fontId="12" fillId="8" borderId="0" xfId="3" applyNumberFormat="1" applyFont="1" applyFill="1" applyBorder="1" applyAlignment="1" applyProtection="1">
      <alignment horizontal="right" vertical="center"/>
    </xf>
    <xf numFmtId="6" fontId="27" fillId="10" borderId="27" xfId="0" applyNumberFormat="1" applyFont="1" applyFill="1" applyBorder="1" applyAlignment="1" applyProtection="1">
      <alignment vertical="center"/>
    </xf>
    <xf numFmtId="6" fontId="27" fillId="10" borderId="28" xfId="0" applyNumberFormat="1" applyFont="1" applyFill="1" applyBorder="1" applyAlignment="1" applyProtection="1">
      <alignment vertical="center"/>
    </xf>
    <xf numFmtId="6" fontId="27" fillId="10" borderId="0" xfId="2" applyNumberFormat="1" applyFont="1" applyFill="1" applyBorder="1" applyAlignment="1" applyProtection="1">
      <alignment vertical="center"/>
    </xf>
    <xf numFmtId="6" fontId="27" fillId="10" borderId="27" xfId="0" applyNumberFormat="1" applyFont="1" applyFill="1" applyBorder="1" applyAlignment="1" applyProtection="1">
      <alignment horizontal="right" vertical="center"/>
    </xf>
    <xf numFmtId="6" fontId="27" fillId="10" borderId="28" xfId="0" applyNumberFormat="1" applyFont="1" applyFill="1" applyBorder="1" applyAlignment="1" applyProtection="1">
      <alignment horizontal="right" vertical="center"/>
    </xf>
    <xf numFmtId="167" fontId="12" fillId="8" borderId="0" xfId="0" applyNumberFormat="1" applyFont="1" applyFill="1" applyBorder="1" applyAlignment="1" applyProtection="1">
      <alignment horizontal="right" vertical="center"/>
    </xf>
    <xf numFmtId="168" fontId="34" fillId="15" borderId="25" xfId="0" applyNumberFormat="1" applyFont="1" applyFill="1" applyBorder="1" applyAlignment="1" applyProtection="1">
      <alignment horizontal="center" vertical="center"/>
      <protection locked="0"/>
    </xf>
    <xf numFmtId="171" fontId="34" fillId="15" borderId="25" xfId="0" applyNumberFormat="1" applyFont="1" applyFill="1" applyBorder="1" applyAlignment="1" applyProtection="1">
      <alignment horizontal="center" vertical="center"/>
      <protection locked="0"/>
    </xf>
    <xf numFmtId="165" fontId="34" fillId="15" borderId="29" xfId="1" applyNumberFormat="1" applyFont="1" applyFill="1" applyBorder="1" applyAlignment="1" applyProtection="1">
      <alignment vertical="center"/>
      <protection locked="0"/>
    </xf>
    <xf numFmtId="166" fontId="0" fillId="0" borderId="0" xfId="0" applyNumberFormat="1"/>
    <xf numFmtId="165" fontId="0" fillId="0" borderId="0" xfId="1" applyNumberFormat="1" applyFont="1"/>
    <xf numFmtId="164" fontId="0" fillId="0" borderId="0" xfId="0" applyNumberFormat="1"/>
    <xf numFmtId="165" fontId="0" fillId="10" borderId="0" xfId="1" applyNumberFormat="1" applyFont="1" applyFill="1" applyAlignment="1" applyProtection="1">
      <alignment vertical="center"/>
    </xf>
    <xf numFmtId="169" fontId="0" fillId="10" borderId="0" xfId="0" applyNumberFormat="1" applyFill="1" applyAlignment="1" applyProtection="1">
      <alignment vertical="center"/>
    </xf>
    <xf numFmtId="165" fontId="0" fillId="10" borderId="0" xfId="0" applyNumberFormat="1" applyFill="1" applyAlignment="1" applyProtection="1">
      <alignment vertical="center"/>
    </xf>
    <xf numFmtId="0" fontId="3" fillId="0" borderId="0" xfId="0" applyFont="1" applyAlignment="1">
      <alignment horizontal="center"/>
    </xf>
    <xf numFmtId="168" fontId="34" fillId="10" borderId="0" xfId="1" applyNumberFormat="1" applyFont="1" applyFill="1" applyBorder="1" applyAlignment="1" applyProtection="1">
      <alignment horizontal="right" vertical="center"/>
    </xf>
    <xf numFmtId="168" fontId="41" fillId="15" borderId="25" xfId="0" applyNumberFormat="1" applyFont="1" applyFill="1" applyBorder="1" applyAlignment="1" applyProtection="1">
      <alignment horizontal="center" vertical="center"/>
      <protection locked="0"/>
    </xf>
    <xf numFmtId="165" fontId="0" fillId="0" borderId="0" xfId="0" applyNumberFormat="1"/>
    <xf numFmtId="164" fontId="1" fillId="0" borderId="0" xfId="1" applyNumberFormat="1" applyFont="1" applyFill="1" applyBorder="1" applyAlignment="1" applyProtection="1">
      <alignment horizontal="center" vertical="center"/>
    </xf>
    <xf numFmtId="0" fontId="3" fillId="17" borderId="0" xfId="0" applyFont="1" applyFill="1"/>
    <xf numFmtId="0" fontId="0" fillId="17" borderId="0" xfId="0" applyFill="1"/>
    <xf numFmtId="0" fontId="34" fillId="10" borderId="7" xfId="0" applyFont="1" applyFill="1" applyBorder="1" applyAlignment="1" applyProtection="1">
      <alignment vertical="center"/>
    </xf>
    <xf numFmtId="43" fontId="0" fillId="0" borderId="0" xfId="0" applyNumberFormat="1"/>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7" fillId="0" borderId="0" xfId="0" applyFont="1" applyFill="1" applyBorder="1" applyAlignment="1" applyProtection="1"/>
    <xf numFmtId="10" fontId="6" fillId="0" borderId="0" xfId="0" applyNumberFormat="1" applyFont="1" applyFill="1" applyBorder="1" applyAlignment="1" applyProtection="1"/>
    <xf numFmtId="0" fontId="53" fillId="10" borderId="6" xfId="0" applyFont="1" applyFill="1" applyBorder="1" applyAlignment="1" applyProtection="1">
      <alignment vertical="center"/>
    </xf>
    <xf numFmtId="0" fontId="47" fillId="10" borderId="0" xfId="0" applyFont="1" applyFill="1" applyBorder="1" applyAlignment="1" applyProtection="1">
      <alignment vertical="center"/>
    </xf>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54" fillId="10" borderId="40" xfId="0" applyFont="1" applyFill="1" applyBorder="1" applyAlignment="1" applyProtection="1">
      <alignment vertical="center"/>
    </xf>
    <xf numFmtId="0" fontId="55" fillId="0" borderId="0" xfId="0" applyFont="1" applyProtection="1">
      <protection locked="0"/>
    </xf>
    <xf numFmtId="0" fontId="56" fillId="0" borderId="0" xfId="0" applyFont="1" applyProtection="1">
      <protection locked="0"/>
    </xf>
    <xf numFmtId="0" fontId="56" fillId="0" borderId="0" xfId="0" applyFont="1" applyAlignment="1">
      <alignment horizontal="center"/>
    </xf>
    <xf numFmtId="0" fontId="56" fillId="19" borderId="0" xfId="0" applyFont="1" applyFill="1" applyProtection="1">
      <protection locked="0"/>
    </xf>
    <xf numFmtId="0" fontId="57" fillId="0" borderId="0" xfId="0" applyFont="1" applyFill="1" applyProtection="1">
      <protection locked="0"/>
    </xf>
    <xf numFmtId="0" fontId="56" fillId="0" borderId="0" xfId="0" applyFont="1" applyFill="1" applyAlignment="1">
      <alignment horizontal="center"/>
    </xf>
    <xf numFmtId="0" fontId="56" fillId="0" borderId="0" xfId="0" applyFont="1"/>
    <xf numFmtId="0" fontId="58" fillId="10" borderId="5" xfId="0" applyFont="1" applyFill="1" applyBorder="1" applyAlignment="1" applyProtection="1">
      <alignment vertical="center"/>
    </xf>
    <xf numFmtId="168" fontId="56" fillId="0" borderId="0" xfId="0" applyNumberFormat="1" applyFont="1" applyAlignment="1">
      <alignment horizontal="center"/>
    </xf>
    <xf numFmtId="0" fontId="58" fillId="10" borderId="6" xfId="0" applyFont="1" applyFill="1" applyBorder="1" applyAlignment="1" applyProtection="1">
      <alignment vertical="center"/>
    </xf>
    <xf numFmtId="0" fontId="58" fillId="10" borderId="7" xfId="0" applyFont="1" applyFill="1" applyBorder="1" applyAlignment="1" applyProtection="1">
      <alignment vertical="center"/>
    </xf>
    <xf numFmtId="0" fontId="57" fillId="3" borderId="0" xfId="0" applyFont="1" applyFill="1" applyProtection="1">
      <protection locked="0"/>
    </xf>
    <xf numFmtId="0" fontId="56" fillId="3" borderId="0" xfId="0" applyFont="1" applyFill="1" applyAlignment="1" applyProtection="1">
      <alignment horizontal="right"/>
      <protection locked="0"/>
    </xf>
    <xf numFmtId="0" fontId="56" fillId="3" borderId="0" xfId="0" applyFont="1" applyFill="1" applyBorder="1" applyAlignment="1" applyProtection="1">
      <alignment horizontal="right"/>
      <protection locked="0"/>
    </xf>
    <xf numFmtId="15" fontId="0" fillId="0" borderId="0" xfId="0" applyNumberFormat="1" applyAlignment="1">
      <alignment horizontal="center"/>
    </xf>
    <xf numFmtId="0" fontId="60" fillId="10" borderId="0" xfId="0" applyFont="1" applyFill="1" applyAlignment="1" applyProtection="1">
      <alignment vertical="top"/>
    </xf>
    <xf numFmtId="0" fontId="0" fillId="0" borderId="0" xfId="0" applyFill="1" applyAlignment="1">
      <alignment horizontal="center" vertical="center"/>
    </xf>
    <xf numFmtId="0" fontId="0" fillId="18" borderId="0" xfId="0" applyFill="1" applyAlignment="1">
      <alignment wrapText="1"/>
    </xf>
    <xf numFmtId="0" fontId="0" fillId="0" borderId="0" xfId="0" applyFill="1" applyAlignment="1">
      <alignment horizontal="center"/>
    </xf>
    <xf numFmtId="15" fontId="0" fillId="0" borderId="0" xfId="0" applyNumberFormat="1" applyFill="1" applyAlignment="1">
      <alignment horizontal="center"/>
    </xf>
    <xf numFmtId="0" fontId="0" fillId="0" borderId="0" xfId="0" applyFill="1" applyAlignment="1">
      <alignment wrapText="1"/>
    </xf>
    <xf numFmtId="0" fontId="0" fillId="18" borderId="0" xfId="0" applyFill="1" applyAlignment="1">
      <alignment horizontal="center" vertical="center"/>
    </xf>
    <xf numFmtId="0" fontId="3" fillId="17" borderId="51" xfId="0" applyFont="1" applyFill="1" applyBorder="1"/>
    <xf numFmtId="0" fontId="0" fillId="17" borderId="52" xfId="0" applyFill="1" applyBorder="1"/>
    <xf numFmtId="0" fontId="3" fillId="0" borderId="52" xfId="0" applyFont="1" applyBorder="1" applyAlignment="1">
      <alignment horizontal="center"/>
    </xf>
    <xf numFmtId="0" fontId="3" fillId="0" borderId="53" xfId="0" applyFont="1" applyBorder="1" applyAlignment="1">
      <alignment horizontal="center"/>
    </xf>
    <xf numFmtId="0" fontId="0" fillId="0" borderId="54" xfId="0" applyBorder="1"/>
    <xf numFmtId="165" fontId="0" fillId="0" borderId="0" xfId="1" applyNumberFormat="1" applyFont="1" applyBorder="1"/>
    <xf numFmtId="165" fontId="0" fillId="0" borderId="55" xfId="1" applyNumberFormat="1" applyFont="1" applyBorder="1"/>
    <xf numFmtId="165" fontId="0" fillId="0" borderId="0" xfId="0" applyNumberFormat="1" applyBorder="1"/>
    <xf numFmtId="0" fontId="0" fillId="0" borderId="56" xfId="0" applyBorder="1"/>
    <xf numFmtId="0" fontId="0" fillId="0" borderId="57" xfId="0" applyBorder="1"/>
    <xf numFmtId="165" fontId="0" fillId="0" borderId="57" xfId="1" applyNumberFormat="1" applyFont="1" applyBorder="1"/>
    <xf numFmtId="165" fontId="0" fillId="0" borderId="58" xfId="1" applyNumberFormat="1" applyFont="1" applyBorder="1"/>
    <xf numFmtId="0" fontId="0" fillId="0" borderId="52" xfId="0" applyBorder="1"/>
    <xf numFmtId="0" fontId="0" fillId="0" borderId="53" xfId="0" applyBorder="1"/>
    <xf numFmtId="0" fontId="0" fillId="0" borderId="55" xfId="0" applyBorder="1"/>
    <xf numFmtId="165" fontId="0" fillId="0" borderId="55" xfId="0" applyNumberFormat="1" applyBorder="1"/>
    <xf numFmtId="0" fontId="0" fillId="0" borderId="58" xfId="0" applyBorder="1"/>
    <xf numFmtId="0" fontId="0" fillId="0" borderId="51" xfId="0" applyBorder="1"/>
    <xf numFmtId="172" fontId="0" fillId="0" borderId="55" xfId="2" applyNumberFormat="1" applyFont="1" applyBorder="1"/>
    <xf numFmtId="164" fontId="1" fillId="0" borderId="57" xfId="1" applyNumberFormat="1" applyFont="1" applyFill="1" applyBorder="1" applyAlignment="1" applyProtection="1">
      <alignment horizontal="center" vertical="center"/>
    </xf>
    <xf numFmtId="172" fontId="0" fillId="0" borderId="58" xfId="2" applyNumberFormat="1" applyFont="1" applyBorder="1"/>
    <xf numFmtId="10" fontId="6" fillId="4" borderId="13" xfId="3" applyNumberFormat="1" applyFont="1" applyFill="1" applyBorder="1" applyAlignment="1" applyProtection="1">
      <alignment horizontal="right"/>
    </xf>
    <xf numFmtId="10" fontId="6" fillId="4" borderId="15" xfId="3" applyNumberFormat="1" applyFont="1" applyFill="1" applyBorder="1" applyAlignment="1" applyProtection="1">
      <alignment horizontal="right"/>
    </xf>
    <xf numFmtId="10" fontId="6" fillId="4" borderId="17" xfId="3" applyNumberFormat="1" applyFont="1" applyFill="1" applyBorder="1" applyAlignment="1" applyProtection="1">
      <alignment horizontal="right"/>
    </xf>
    <xf numFmtId="15" fontId="0" fillId="0" borderId="0" xfId="0" applyNumberFormat="1" applyFill="1"/>
    <xf numFmtId="1" fontId="0" fillId="0" borderId="0" xfId="0" applyNumberFormat="1"/>
    <xf numFmtId="6" fontId="56" fillId="19" borderId="0" xfId="2" applyNumberFormat="1" applyFont="1" applyFill="1" applyBorder="1" applyAlignment="1" applyProtection="1">
      <alignment horizontal="right"/>
    </xf>
    <xf numFmtId="0" fontId="4" fillId="0" borderId="0" xfId="0" applyFont="1" applyFill="1" applyBorder="1" applyAlignment="1" applyProtection="1">
      <alignment horizontal="right"/>
    </xf>
    <xf numFmtId="9" fontId="0" fillId="20" borderId="0" xfId="3" applyFont="1" applyFill="1"/>
    <xf numFmtId="43" fontId="6" fillId="4" borderId="17" xfId="1" applyFont="1" applyFill="1" applyBorder="1" applyAlignment="1" applyProtection="1">
      <alignment horizontal="right"/>
    </xf>
    <xf numFmtId="15" fontId="20" fillId="14" borderId="0" xfId="0" applyNumberFormat="1" applyFont="1" applyFill="1" applyAlignment="1" applyProtection="1">
      <alignment vertical="top"/>
    </xf>
    <xf numFmtId="0" fontId="61" fillId="10" borderId="40" xfId="0" applyFont="1" applyFill="1" applyBorder="1" applyAlignment="1" applyProtection="1">
      <alignment vertical="center"/>
    </xf>
    <xf numFmtId="15" fontId="0" fillId="18" borderId="0" xfId="0" applyNumberFormat="1" applyFill="1" applyAlignment="1">
      <alignment vertical="center"/>
    </xf>
    <xf numFmtId="165" fontId="0" fillId="0" borderId="0" xfId="1" applyNumberFormat="1" applyFont="1" applyFill="1" applyBorder="1"/>
    <xf numFmtId="10" fontId="6" fillId="0" borderId="0" xfId="3" applyNumberFormat="1" applyFont="1" applyFill="1" applyBorder="1" applyAlignment="1" applyProtection="1">
      <alignment horizontal="right"/>
    </xf>
    <xf numFmtId="0" fontId="3" fillId="21" borderId="0" xfId="0" applyFont="1" applyFill="1" applyBorder="1"/>
    <xf numFmtId="0" fontId="0" fillId="21" borderId="0" xfId="0" applyFill="1"/>
    <xf numFmtId="0" fontId="4" fillId="21" borderId="0" xfId="0" applyFont="1" applyFill="1" applyBorder="1" applyAlignment="1" applyProtection="1">
      <alignment horizontal="right"/>
    </xf>
    <xf numFmtId="9" fontId="0" fillId="0" borderId="0" xfId="0" applyNumberFormat="1"/>
    <xf numFmtId="167" fontId="56" fillId="19" borderId="0" xfId="2" applyNumberFormat="1" applyFont="1" applyFill="1" applyBorder="1" applyAlignment="1" applyProtection="1">
      <alignment horizontal="right"/>
    </xf>
    <xf numFmtId="6" fontId="56" fillId="3" borderId="0" xfId="2" applyNumberFormat="1" applyFont="1" applyFill="1" applyProtection="1">
      <protection locked="0"/>
    </xf>
    <xf numFmtId="173" fontId="56" fillId="19" borderId="0" xfId="0" applyNumberFormat="1" applyFont="1" applyFill="1" applyAlignment="1" applyProtection="1">
      <alignment horizontal="right"/>
    </xf>
    <xf numFmtId="0" fontId="0" fillId="3" borderId="9" xfId="0" applyFill="1" applyBorder="1" applyProtection="1">
      <protection locked="0"/>
    </xf>
    <xf numFmtId="0" fontId="0" fillId="3" borderId="49" xfId="0" applyFill="1" applyBorder="1" applyProtection="1">
      <protection locked="0"/>
    </xf>
    <xf numFmtId="0" fontId="17" fillId="0" borderId="45" xfId="0" applyFont="1" applyFill="1" applyBorder="1" applyAlignment="1">
      <alignment horizontal="center"/>
    </xf>
    <xf numFmtId="165" fontId="3" fillId="3" borderId="47" xfId="1" applyNumberFormat="1" applyFont="1" applyFill="1" applyBorder="1" applyProtection="1">
      <protection locked="0"/>
    </xf>
    <xf numFmtId="165" fontId="3" fillId="3" borderId="49" xfId="1" applyNumberFormat="1" applyFont="1" applyFill="1" applyBorder="1" applyProtection="1">
      <protection locked="0"/>
    </xf>
    <xf numFmtId="165" fontId="3" fillId="3" borderId="50" xfId="1" applyNumberFormat="1" applyFont="1" applyFill="1" applyBorder="1" applyProtection="1">
      <protection locked="0"/>
    </xf>
    <xf numFmtId="6" fontId="0" fillId="0" borderId="0" xfId="0" applyNumberFormat="1"/>
    <xf numFmtId="0" fontId="0" fillId="0" borderId="9" xfId="0" applyFill="1" applyBorder="1" applyProtection="1">
      <protection locked="0"/>
    </xf>
    <xf numFmtId="0" fontId="0" fillId="0" borderId="49" xfId="0" applyFill="1" applyBorder="1" applyProtection="1">
      <protection locked="0"/>
    </xf>
    <xf numFmtId="0" fontId="46" fillId="14" borderId="0" xfId="0" applyFont="1" applyFill="1" applyAlignment="1" applyProtection="1">
      <alignment horizontal="left" vertical="center"/>
    </xf>
    <xf numFmtId="0" fontId="46" fillId="14" borderId="39" xfId="0" applyFont="1" applyFill="1" applyBorder="1" applyAlignment="1" applyProtection="1">
      <alignment horizontal="left" vertical="center"/>
    </xf>
    <xf numFmtId="0" fontId="19" fillId="8" borderId="0" xfId="0" applyFont="1" applyFill="1" applyBorder="1" applyAlignment="1" applyProtection="1">
      <alignment horizontal="left" vertical="center"/>
    </xf>
    <xf numFmtId="0" fontId="19" fillId="11" borderId="0" xfId="0" applyFont="1" applyFill="1" applyBorder="1" applyAlignment="1" applyProtection="1">
      <alignment horizontal="right" vertical="center"/>
    </xf>
    <xf numFmtId="0" fontId="19" fillId="12" borderId="0" xfId="0" applyFont="1" applyFill="1" applyBorder="1" applyAlignment="1" applyProtection="1">
      <alignment horizontal="right" vertical="center"/>
    </xf>
    <xf numFmtId="0" fontId="19" fillId="13" borderId="0" xfId="0" applyFont="1" applyFill="1" applyBorder="1" applyAlignment="1" applyProtection="1">
      <alignment horizontal="right" vertical="center"/>
    </xf>
    <xf numFmtId="9" fontId="28" fillId="10" borderId="0" xfId="0" applyNumberFormat="1" applyFont="1" applyFill="1" applyAlignment="1">
      <alignment horizontal="center"/>
    </xf>
    <xf numFmtId="0" fontId="19" fillId="14" borderId="0" xfId="0" applyFont="1" applyFill="1" applyBorder="1" applyAlignment="1" applyProtection="1">
      <alignment horizontal="right" vertical="center"/>
    </xf>
    <xf numFmtId="0" fontId="19" fillId="16" borderId="0" xfId="0" applyFont="1" applyFill="1" applyBorder="1" applyAlignment="1" applyProtection="1">
      <alignment horizontal="right" vertical="center" wrapText="1"/>
    </xf>
    <xf numFmtId="0" fontId="12" fillId="5" borderId="1" xfId="0" applyFont="1" applyFill="1" applyBorder="1" applyAlignment="1" applyProtection="1">
      <alignment vertical="center"/>
    </xf>
    <xf numFmtId="0" fontId="12" fillId="5" borderId="4" xfId="0" applyFont="1" applyFill="1" applyBorder="1" applyAlignment="1" applyProtection="1">
      <alignment vertical="center"/>
    </xf>
    <xf numFmtId="0" fontId="35" fillId="5" borderId="3" xfId="0" applyFont="1" applyFill="1" applyBorder="1" applyAlignment="1" applyProtection="1">
      <alignment horizontal="center" vertical="center"/>
    </xf>
    <xf numFmtId="0" fontId="35" fillId="5" borderId="1" xfId="0" applyFont="1" applyFill="1" applyBorder="1" applyAlignment="1" applyProtection="1">
      <alignment horizontal="center" vertical="center"/>
    </xf>
    <xf numFmtId="0" fontId="35" fillId="5" borderId="8" xfId="0" applyFont="1" applyFill="1" applyBorder="1" applyAlignment="1" applyProtection="1">
      <alignment horizontal="center" vertical="center"/>
    </xf>
    <xf numFmtId="0" fontId="19" fillId="11" borderId="27" xfId="0" applyFont="1" applyFill="1" applyBorder="1" applyAlignment="1" applyProtection="1">
      <alignment horizontal="left" vertical="center"/>
    </xf>
    <xf numFmtId="0" fontId="19" fillId="4" borderId="0" xfId="0" applyFont="1" applyFill="1" applyBorder="1" applyAlignment="1" applyProtection="1">
      <alignment horizontal="right" vertical="center"/>
    </xf>
    <xf numFmtId="0" fontId="35" fillId="5" borderId="2" xfId="0" applyFont="1" applyFill="1" applyBorder="1" applyAlignment="1" applyProtection="1">
      <alignment horizontal="center" vertical="center"/>
    </xf>
    <xf numFmtId="0" fontId="34" fillId="10" borderId="30" xfId="0" applyFont="1" applyFill="1" applyBorder="1" applyAlignment="1" applyProtection="1">
      <alignment vertical="center" wrapText="1"/>
    </xf>
    <xf numFmtId="0" fontId="34" fillId="10" borderId="31" xfId="0" applyFont="1" applyFill="1" applyBorder="1" applyAlignment="1" applyProtection="1">
      <alignment vertical="center" wrapText="1"/>
    </xf>
    <xf numFmtId="0" fontId="34" fillId="10" borderId="33" xfId="0" applyFont="1" applyFill="1" applyBorder="1" applyAlignment="1" applyProtection="1">
      <alignment vertical="center" wrapText="1"/>
    </xf>
    <xf numFmtId="0" fontId="19" fillId="13" borderId="28" xfId="0" applyFont="1" applyFill="1" applyBorder="1" applyAlignment="1" applyProtection="1">
      <alignment horizontal="left" vertical="center"/>
    </xf>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9" fillId="4" borderId="27" xfId="0" applyFont="1" applyFill="1" applyBorder="1" applyAlignment="1" applyProtection="1">
      <alignment horizontal="left" vertical="center"/>
    </xf>
    <xf numFmtId="0" fontId="17" fillId="0" borderId="10" xfId="0" applyFont="1" applyFill="1" applyBorder="1" applyAlignment="1" applyProtection="1">
      <alignment horizontal="center"/>
    </xf>
    <xf numFmtId="0" fontId="17" fillId="0" borderId="11" xfId="0" applyFont="1" applyFill="1" applyBorder="1" applyAlignment="1" applyProtection="1">
      <alignment horizontal="center"/>
    </xf>
    <xf numFmtId="0" fontId="17" fillId="0" borderId="20" xfId="0" applyFont="1" applyFill="1" applyBorder="1" applyAlignment="1" applyProtection="1">
      <alignment horizontal="center"/>
    </xf>
    <xf numFmtId="0" fontId="17" fillId="0" borderId="21" xfId="0" applyFont="1" applyFill="1" applyBorder="1" applyAlignment="1" applyProtection="1">
      <alignment horizontal="center"/>
    </xf>
  </cellXfs>
  <cellStyles count="5">
    <cellStyle name="Comma" xfId="1" builtinId="3"/>
    <cellStyle name="Currency" xfId="2" builtinId="4"/>
    <cellStyle name="Hyperlink" xfId="4" builtinId="8"/>
    <cellStyle name="Normal" xfId="0" builtinId="0"/>
    <cellStyle name="Percent" xfId="3" builtinId="5"/>
  </cellStyles>
  <dxfs count="8">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colors>
    <mruColors>
      <color rgb="FFFFFF99"/>
      <color rgb="FF00C85A"/>
      <color rgb="FF29A315"/>
      <color rgb="FFEEFC9C"/>
      <color rgb="FFD5644B"/>
      <color rgb="FF3D2A46"/>
      <color rgb="FF6B9CA9"/>
      <color rgb="FF9C6B55"/>
      <color rgb="FFF9F9F9"/>
      <color rgb="FF009B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693421</xdr:colOff>
      <xdr:row>0</xdr:row>
      <xdr:rowOff>175260</xdr:rowOff>
    </xdr:from>
    <xdr:to>
      <xdr:col>6</xdr:col>
      <xdr:colOff>863793</xdr:colOff>
      <xdr:row>1</xdr:row>
      <xdr:rowOff>205739</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5024121" y="175260"/>
          <a:ext cx="1903922" cy="220979"/>
          <a:chOff x="7598550" y="77607"/>
          <a:chExt cx="1500318" cy="192021"/>
        </a:xfrm>
      </xdr:grpSpPr>
      <xdr:grpSp>
        <xdr:nvGrpSpPr>
          <xdr:cNvPr id="6" name="Group 5">
            <a:extLst>
              <a:ext uri="{FF2B5EF4-FFF2-40B4-BE49-F238E27FC236}">
                <a16:creationId xmlns:a16="http://schemas.microsoft.com/office/drawing/2014/main" id="{00000000-0008-0000-0000-000006000000}"/>
              </a:ext>
            </a:extLst>
          </xdr:cNvPr>
          <xdr:cNvGrpSpPr/>
        </xdr:nvGrpSpPr>
        <xdr:grpSpPr>
          <a:xfrm>
            <a:off x="8656908" y="90193"/>
            <a:ext cx="441960" cy="137160"/>
            <a:chOff x="-805218" y="1851449"/>
            <a:chExt cx="441960" cy="137160"/>
          </a:xfrm>
        </xdr:grpSpPr>
        <xdr:sp macro="" textlink="">
          <xdr:nvSpPr>
            <xdr:cNvPr id="8" name="Oval 7">
              <a:extLst>
                <a:ext uri="{FF2B5EF4-FFF2-40B4-BE49-F238E27FC236}">
                  <a16:creationId xmlns:a16="http://schemas.microsoft.com/office/drawing/2014/main" id="{00000000-0008-0000-0000-000008000000}"/>
                </a:ext>
              </a:extLst>
            </xdr:cNvPr>
            <xdr:cNvSpPr/>
          </xdr:nvSpPr>
          <xdr:spPr>
            <a:xfrm>
              <a:off x="-805218" y="1851449"/>
              <a:ext cx="137160" cy="137160"/>
            </a:xfrm>
            <a:prstGeom prst="ellipse">
              <a:avLst/>
            </a:prstGeom>
            <a:solidFill>
              <a:srgbClr val="D564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9" name="Oval 8">
              <a:extLst>
                <a:ext uri="{FF2B5EF4-FFF2-40B4-BE49-F238E27FC236}">
                  <a16:creationId xmlns:a16="http://schemas.microsoft.com/office/drawing/2014/main" id="{00000000-0008-0000-0000-000009000000}"/>
                </a:ext>
              </a:extLst>
            </xdr:cNvPr>
            <xdr:cNvSpPr/>
          </xdr:nvSpPr>
          <xdr:spPr>
            <a:xfrm>
              <a:off x="-652818" y="1851449"/>
              <a:ext cx="137160" cy="137160"/>
            </a:xfrm>
            <a:prstGeom prst="ellipse">
              <a:avLst/>
            </a:prstGeom>
            <a:solidFill>
              <a:srgbClr val="6B9CA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10" name="Oval 9">
              <a:extLst>
                <a:ext uri="{FF2B5EF4-FFF2-40B4-BE49-F238E27FC236}">
                  <a16:creationId xmlns:a16="http://schemas.microsoft.com/office/drawing/2014/main" id="{00000000-0008-0000-0000-00000A000000}"/>
                </a:ext>
              </a:extLst>
            </xdr:cNvPr>
            <xdr:cNvSpPr/>
          </xdr:nvSpPr>
          <xdr:spPr>
            <a:xfrm>
              <a:off x="-500418" y="1851449"/>
              <a:ext cx="137160" cy="137160"/>
            </a:xfrm>
            <a:prstGeom prst="ellipse">
              <a:avLst/>
            </a:prstGeom>
            <a:solidFill>
              <a:srgbClr val="9C6B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grpSp>
      <xdr:pic>
        <xdr:nvPicPr>
          <xdr:cNvPr id="7" name="Picture 6" descr="eClerx Digital Logo_Final_white.eps">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7598550" y="77607"/>
            <a:ext cx="956089" cy="19202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I107"/>
  <sheetViews>
    <sheetView showGridLines="0" tabSelected="1" topLeftCell="B60" zoomScale="90" zoomScaleNormal="90" workbookViewId="0">
      <selection activeCell="G67" sqref="G67"/>
    </sheetView>
  </sheetViews>
  <sheetFormatPr defaultColWidth="9.01171875" defaultRowHeight="15" outlineLevelRow="1" x14ac:dyDescent="0.2"/>
  <cols>
    <col min="1" max="1" width="3.09375" style="29" customWidth="1"/>
    <col min="2" max="2" width="27.7109375" style="29" bestFit="1" customWidth="1"/>
    <col min="3" max="3" width="14.390625" style="29" bestFit="1" customWidth="1"/>
    <col min="4" max="4" width="15.87109375" style="29" bestFit="1" customWidth="1"/>
    <col min="5" max="5" width="11.8359375" style="29" bestFit="1" customWidth="1"/>
    <col min="6" max="6" width="12.64453125" style="29" bestFit="1" customWidth="1"/>
    <col min="7" max="7" width="13.046875" style="29" bestFit="1" customWidth="1"/>
    <col min="8" max="9" width="13.71875" style="29" customWidth="1"/>
    <col min="10" max="10" width="14.9296875" style="29" bestFit="1" customWidth="1"/>
    <col min="11" max="11" width="15.33203125" style="29" bestFit="1" customWidth="1"/>
    <col min="12" max="12" width="12.375" style="29" bestFit="1" customWidth="1"/>
    <col min="13" max="13" width="8.609375" style="29" bestFit="1" customWidth="1"/>
    <col min="14" max="15" width="7.6640625" style="29" bestFit="1" customWidth="1"/>
    <col min="16" max="16" width="2.95703125" style="29" bestFit="1" customWidth="1"/>
    <col min="17" max="17" width="7.6640625" style="29" bestFit="1" customWidth="1"/>
    <col min="18" max="18" width="8.609375" style="29" bestFit="1" customWidth="1"/>
    <col min="19" max="23" width="9.01171875" style="29"/>
    <col min="24" max="24" width="9.55078125" style="29" bestFit="1" customWidth="1"/>
    <col min="25" max="25" width="6.3203125" style="29" bestFit="1" customWidth="1"/>
    <col min="26" max="26" width="7.12890625" style="29" bestFit="1" customWidth="1"/>
    <col min="27" max="27" width="9.01171875" style="29"/>
    <col min="28" max="28" width="10.4921875" style="29" bestFit="1" customWidth="1"/>
    <col min="29" max="29" width="6.3203125" style="29" bestFit="1" customWidth="1"/>
    <col min="30" max="30" width="7.12890625" style="29" bestFit="1" customWidth="1"/>
    <col min="31" max="31" width="9.01171875" style="29"/>
    <col min="32" max="32" width="5.109375" style="29" bestFit="1" customWidth="1"/>
    <col min="33" max="33" width="6.3203125" style="29" bestFit="1" customWidth="1"/>
    <col min="34" max="34" width="7.12890625" style="29" bestFit="1" customWidth="1"/>
    <col min="35" max="16384" width="9.01171875" style="29"/>
  </cols>
  <sheetData>
    <row r="1" spans="2:35" x14ac:dyDescent="0.2">
      <c r="B1" s="52"/>
      <c r="C1" s="52"/>
      <c r="D1" s="52"/>
      <c r="E1" s="52"/>
      <c r="F1" s="52"/>
      <c r="G1" s="52"/>
    </row>
    <row r="2" spans="2:35" ht="17.100000000000001" customHeight="1" x14ac:dyDescent="0.2">
      <c r="B2" s="276" t="s">
        <v>104</v>
      </c>
      <c r="C2" s="66"/>
      <c r="D2" s="66"/>
      <c r="E2" s="66"/>
      <c r="F2" s="66"/>
      <c r="G2" s="52"/>
      <c r="K2" s="115" t="s">
        <v>85</v>
      </c>
      <c r="L2" s="116" t="s">
        <v>79</v>
      </c>
    </row>
    <row r="3" spans="2:35" ht="20.100000000000001" customHeight="1" x14ac:dyDescent="0.2">
      <c r="B3" s="277"/>
      <c r="C3" s="66"/>
      <c r="D3" s="66"/>
      <c r="E3" s="127" t="s">
        <v>108</v>
      </c>
      <c r="F3" s="128" t="s">
        <v>191</v>
      </c>
      <c r="G3" s="52"/>
      <c r="K3" s="256" t="s">
        <v>192</v>
      </c>
      <c r="L3" s="118">
        <v>0.6</v>
      </c>
    </row>
    <row r="4" spans="2:35" ht="20.100000000000001" customHeight="1" x14ac:dyDescent="0.2">
      <c r="B4" s="61" t="s">
        <v>95</v>
      </c>
      <c r="C4" s="60"/>
      <c r="D4" s="60"/>
      <c r="E4" s="127" t="s">
        <v>109</v>
      </c>
      <c r="F4" s="255">
        <v>45474</v>
      </c>
      <c r="G4" s="52"/>
      <c r="K4" s="117" t="s">
        <v>146</v>
      </c>
      <c r="L4" s="118">
        <v>0.55000000000000004</v>
      </c>
      <c r="Y4" s="48" t="s">
        <v>96</v>
      </c>
      <c r="Z4" s="48"/>
      <c r="AA4" s="48"/>
      <c r="AB4" s="48"/>
      <c r="AC4" s="48" t="s">
        <v>30</v>
      </c>
      <c r="AD4" s="48"/>
      <c r="AE4" s="48"/>
      <c r="AF4" s="48"/>
      <c r="AG4" s="48" t="s">
        <v>35</v>
      </c>
      <c r="AH4" s="48"/>
      <c r="AI4" s="48"/>
    </row>
    <row r="5" spans="2:35" ht="20.100000000000001" customHeight="1" x14ac:dyDescent="0.2">
      <c r="B5" s="60"/>
      <c r="C5" s="60"/>
      <c r="D5" s="60"/>
      <c r="E5" s="60"/>
      <c r="F5" s="60"/>
      <c r="G5" s="52"/>
      <c r="K5" s="119" t="s">
        <v>148</v>
      </c>
      <c r="L5" s="118">
        <v>0.55000000000000004</v>
      </c>
      <c r="U5" s="47"/>
      <c r="V5" s="43"/>
      <c r="W5" s="43"/>
      <c r="Y5" s="162">
        <f>C12</f>
        <v>0</v>
      </c>
      <c r="Z5" s="163">
        <f>IF(Y5&gt;0,-1,(Y5+AA5)*-1)</f>
        <v>-1</v>
      </c>
      <c r="AA5" s="162">
        <f>IF(Y5&gt;0,1-Y5,1)</f>
        <v>1</v>
      </c>
      <c r="AB5" s="48"/>
      <c r="AC5" s="162">
        <f>D12</f>
        <v>0</v>
      </c>
      <c r="AD5" s="163">
        <f>IF(AC5&gt;0,-1,(AC5+AE5)*-1)</f>
        <v>-1</v>
      </c>
      <c r="AE5" s="162">
        <f>IF(AC5&gt;0,1-AC5,1)</f>
        <v>1</v>
      </c>
      <c r="AF5" s="48"/>
      <c r="AG5" s="162">
        <f>E12</f>
        <v>0.69172146767103659</v>
      </c>
      <c r="AH5" s="163">
        <f>IF(AG5&gt;0,-1,(AG5+AI5)*-1)</f>
        <v>-1</v>
      </c>
      <c r="AI5" s="162">
        <f>IF(AG5&gt;0,1-AG5,1)</f>
        <v>0.30827853232896341</v>
      </c>
    </row>
    <row r="6" spans="2:35" ht="20.100000000000001" customHeight="1" x14ac:dyDescent="0.2">
      <c r="B6" s="51"/>
      <c r="C6" s="51"/>
      <c r="D6" s="51"/>
      <c r="E6" s="51"/>
      <c r="F6" s="218"/>
      <c r="K6" s="120" t="s">
        <v>147</v>
      </c>
      <c r="L6" s="118">
        <v>0.5</v>
      </c>
      <c r="U6" s="47"/>
      <c r="V6" s="43"/>
      <c r="W6" s="43"/>
      <c r="Y6" s="162">
        <f>C14</f>
        <v>0</v>
      </c>
      <c r="Z6" s="163">
        <f>IF(Y6&gt;0,-1,(Y6+AA6)*-1)</f>
        <v>-1</v>
      </c>
      <c r="AA6" s="162">
        <f>IF(Y6&gt;0,1-Y6,1)</f>
        <v>1</v>
      </c>
      <c r="AB6" s="48"/>
      <c r="AC6" s="162">
        <f>D14</f>
        <v>0</v>
      </c>
      <c r="AD6" s="163">
        <f>IF(AC6&gt;0,-1,(AC6+AE6)*-1)</f>
        <v>-1</v>
      </c>
      <c r="AE6" s="162">
        <f>IF(AC6&gt;0,1-AC6,1)</f>
        <v>1</v>
      </c>
      <c r="AF6" s="48"/>
      <c r="AG6" s="162">
        <f>E14</f>
        <v>0.53972146767103657</v>
      </c>
      <c r="AH6" s="163">
        <f>IF(AG6&gt;0,-1,(AG6+AI6)*-1)</f>
        <v>-1</v>
      </c>
      <c r="AI6" s="162">
        <f>IF(AG6&gt;0,1-AG6,1)</f>
        <v>0.46027853232896343</v>
      </c>
    </row>
    <row r="7" spans="2:35" ht="20.100000000000001" customHeight="1" x14ac:dyDescent="0.2">
      <c r="B7" s="278" t="s">
        <v>10</v>
      </c>
      <c r="C7" s="279" t="s">
        <v>127</v>
      </c>
      <c r="D7" s="280" t="s">
        <v>97</v>
      </c>
      <c r="E7" s="281" t="s">
        <v>128</v>
      </c>
      <c r="F7" s="291" t="s">
        <v>175</v>
      </c>
      <c r="G7" s="283" t="s">
        <v>11</v>
      </c>
      <c r="H7" s="284" t="s">
        <v>133</v>
      </c>
      <c r="K7" s="121" t="s">
        <v>31</v>
      </c>
      <c r="L7" s="118">
        <v>0.2</v>
      </c>
      <c r="U7" s="47"/>
      <c r="V7" s="43"/>
      <c r="W7" s="43"/>
      <c r="Y7" s="162">
        <f>C16</f>
        <v>0</v>
      </c>
      <c r="Z7" s="163">
        <f>IF(Y7&gt;0,-1,(Y7+AA7)*-1)</f>
        <v>-1</v>
      </c>
      <c r="AA7" s="162">
        <f>IF(Y7&gt;0,1-Y7,1)</f>
        <v>1</v>
      </c>
      <c r="AB7" s="48"/>
      <c r="AC7" s="162">
        <f>D16</f>
        <v>0</v>
      </c>
      <c r="AD7" s="163">
        <f>IF(AC7&gt;0,-1,(AC7+AE7)*-1)</f>
        <v>-1</v>
      </c>
      <c r="AE7" s="162">
        <f>IF(AC7&gt;0,1-AC7,1)</f>
        <v>1</v>
      </c>
      <c r="AF7" s="48"/>
      <c r="AG7" s="162">
        <f>E16</f>
        <v>0.27472146767103661</v>
      </c>
      <c r="AH7" s="163">
        <f>IF(AG7&gt;0,-1,(AG7+AI7)*-1)</f>
        <v>-1</v>
      </c>
      <c r="AI7" s="162">
        <f>IF(AG7&gt;0,1-AG7,1)</f>
        <v>0.72527853232896344</v>
      </c>
    </row>
    <row r="8" spans="2:35" ht="20.100000000000001" customHeight="1" x14ac:dyDescent="0.2">
      <c r="B8" s="278"/>
      <c r="C8" s="279"/>
      <c r="D8" s="280"/>
      <c r="E8" s="281"/>
      <c r="F8" s="291"/>
      <c r="G8" s="283"/>
      <c r="H8" s="284"/>
      <c r="K8" s="122" t="s">
        <v>35</v>
      </c>
      <c r="L8" s="118">
        <v>0.55000000000000004</v>
      </c>
      <c r="Y8" s="48"/>
      <c r="Z8" s="48"/>
      <c r="AA8" s="48"/>
      <c r="AB8" s="48"/>
      <c r="AC8" s="48"/>
      <c r="AD8" s="48"/>
      <c r="AE8" s="48"/>
      <c r="AF8" s="48"/>
      <c r="AG8" s="48"/>
      <c r="AH8" s="48"/>
      <c r="AI8" s="48"/>
    </row>
    <row r="9" spans="2:35" ht="20.100000000000001" customHeight="1" x14ac:dyDescent="0.2">
      <c r="B9" s="63" t="s">
        <v>40</v>
      </c>
      <c r="C9" s="166">
        <f>G26*C19</f>
        <v>0</v>
      </c>
      <c r="D9" s="166">
        <f>L57*C19</f>
        <v>0</v>
      </c>
      <c r="E9" s="166">
        <f>(G66+G67)*C19</f>
        <v>99999</v>
      </c>
      <c r="F9" s="166">
        <f>G93*C19</f>
        <v>0</v>
      </c>
      <c r="G9" s="173">
        <f>SUM(C9:F9)</f>
        <v>99999</v>
      </c>
      <c r="H9" s="170">
        <f>G9-C17</f>
        <v>99999</v>
      </c>
      <c r="K9" s="202" t="s">
        <v>176</v>
      </c>
      <c r="L9" s="118">
        <v>0.6</v>
      </c>
      <c r="P9" s="130"/>
      <c r="Q9" s="130"/>
    </row>
    <row r="10" spans="2:35" ht="20.100000000000001" customHeight="1" x14ac:dyDescent="0.2">
      <c r="B10" s="64" t="s">
        <v>64</v>
      </c>
      <c r="C10" s="167">
        <f>(G42-SUM(G39:G41))*C19</f>
        <v>0</v>
      </c>
      <c r="D10" s="167">
        <f>(M57-M55-M56)*C19</f>
        <v>0</v>
      </c>
      <c r="E10" s="167">
        <f>(G82-SUM(G78:G81))*C19</f>
        <v>30827.544954364006</v>
      </c>
      <c r="F10" s="167">
        <f>(G106-G105-G104-G103)*C19</f>
        <v>0</v>
      </c>
      <c r="G10" s="174">
        <f>SUM(C10:F10)</f>
        <v>30827.544954364006</v>
      </c>
      <c r="H10" s="171">
        <f>G10</f>
        <v>30827.544954364006</v>
      </c>
      <c r="I10" s="161"/>
      <c r="J10" s="161"/>
      <c r="K10" s="160"/>
      <c r="L10" s="160"/>
      <c r="M10" s="130"/>
      <c r="N10" s="130"/>
      <c r="O10" s="130"/>
    </row>
    <row r="11" spans="2:35" ht="20.100000000000001" customHeight="1" x14ac:dyDescent="0.2">
      <c r="B11" s="55" t="s">
        <v>62</v>
      </c>
      <c r="C11" s="168">
        <f>C9-C10</f>
        <v>0</v>
      </c>
      <c r="D11" s="168">
        <f t="shared" ref="D11:H11" si="0">D9-D10</f>
        <v>0</v>
      </c>
      <c r="E11" s="168">
        <f t="shared" si="0"/>
        <v>69171.455045635987</v>
      </c>
      <c r="F11" s="168">
        <f>F9-F10</f>
        <v>0</v>
      </c>
      <c r="G11" s="168">
        <f t="shared" si="0"/>
        <v>69171.455045635987</v>
      </c>
      <c r="H11" s="168">
        <f t="shared" si="0"/>
        <v>69171.455045635987</v>
      </c>
      <c r="J11" s="62"/>
      <c r="K11" s="125"/>
      <c r="L11" s="125"/>
      <c r="M11" s="282"/>
      <c r="N11" s="282"/>
    </row>
    <row r="12" spans="2:35" ht="20.100000000000001" customHeight="1" x14ac:dyDescent="0.2">
      <c r="B12" s="65" t="s">
        <v>63</v>
      </c>
      <c r="C12" s="169">
        <f>IFERROR(C11/C9,0)</f>
        <v>0</v>
      </c>
      <c r="D12" s="169">
        <f t="shared" ref="D12:H12" si="1">IFERROR(D11/D9,0)</f>
        <v>0</v>
      </c>
      <c r="E12" s="169">
        <f t="shared" si="1"/>
        <v>0.69172146767103659</v>
      </c>
      <c r="F12" s="169">
        <f>IFERROR(F11/F9,0)</f>
        <v>0</v>
      </c>
      <c r="G12" s="169">
        <f t="shared" si="1"/>
        <v>0.69172146767103659</v>
      </c>
      <c r="H12" s="169">
        <f t="shared" si="1"/>
        <v>0.69172146767103659</v>
      </c>
    </row>
    <row r="13" spans="2:35" ht="20.100000000000001" customHeight="1" x14ac:dyDescent="0.2">
      <c r="B13" s="55" t="s">
        <v>56</v>
      </c>
      <c r="C13" s="168">
        <f>C11-((G40+G41+G39)*C19)</f>
        <v>0</v>
      </c>
      <c r="D13" s="168">
        <f>D11-((M55+M56)*C19)</f>
        <v>0</v>
      </c>
      <c r="E13" s="168">
        <f>E11-((G80+G81+G79)*C19)</f>
        <v>53971.607045635988</v>
      </c>
      <c r="F13" s="168">
        <f>F11-((G104+G105+G103)*C19)</f>
        <v>0</v>
      </c>
      <c r="G13" s="168">
        <f>SUM(C13:F13)</f>
        <v>53971.607045635988</v>
      </c>
      <c r="H13" s="172">
        <f>G13-C17</f>
        <v>53971.607045635988</v>
      </c>
    </row>
    <row r="14" spans="2:35" ht="20.100000000000001" customHeight="1" thickBot="1" x14ac:dyDescent="0.25">
      <c r="B14" s="65" t="s">
        <v>57</v>
      </c>
      <c r="C14" s="169">
        <f t="shared" ref="C14:H14" si="2">IFERROR(C13/C9,0)</f>
        <v>0</v>
      </c>
      <c r="D14" s="169">
        <f t="shared" si="2"/>
        <v>0</v>
      </c>
      <c r="E14" s="169">
        <f t="shared" si="2"/>
        <v>0.53972146767103657</v>
      </c>
      <c r="F14" s="169">
        <f t="shared" si="2"/>
        <v>0</v>
      </c>
      <c r="G14" s="169">
        <f t="shared" si="2"/>
        <v>0.53972146767103657</v>
      </c>
      <c r="H14" s="175">
        <f t="shared" si="2"/>
        <v>0.53972146767103657</v>
      </c>
    </row>
    <row r="15" spans="2:35" ht="20.100000000000001" hidden="1" customHeight="1" outlineLevel="1" x14ac:dyDescent="0.2">
      <c r="B15" s="55" t="s">
        <v>65</v>
      </c>
      <c r="C15" s="168">
        <f>C13-(C9*26%)</f>
        <v>0</v>
      </c>
      <c r="D15" s="168">
        <f>D13-(D9*9.5%)</f>
        <v>0</v>
      </c>
      <c r="E15" s="168">
        <f>E13-(E9*26.5%)</f>
        <v>27471.872045635988</v>
      </c>
      <c r="F15" s="168"/>
      <c r="G15" s="168">
        <f>SUM(C15:F15)</f>
        <v>27471.872045635988</v>
      </c>
      <c r="H15" s="172">
        <f>G15-C17</f>
        <v>27471.872045635988</v>
      </c>
    </row>
    <row r="16" spans="2:35" ht="20.100000000000001" hidden="1" customHeight="1" outlineLevel="1" thickBot="1" x14ac:dyDescent="0.25">
      <c r="B16" s="65" t="s">
        <v>66</v>
      </c>
      <c r="C16" s="169">
        <f t="shared" ref="C16:E16" si="3">IFERROR(C15/C9,0)</f>
        <v>0</v>
      </c>
      <c r="D16" s="169">
        <f t="shared" si="3"/>
        <v>0</v>
      </c>
      <c r="E16" s="169">
        <f t="shared" si="3"/>
        <v>0.27472146767103661</v>
      </c>
      <c r="F16" s="169"/>
      <c r="G16" s="169">
        <f>IFERROR(G15/(C9+D9+E9),0)</f>
        <v>0.27472146767103661</v>
      </c>
      <c r="H16" s="169">
        <f>IFERROR(H15/(H9-F9),0)</f>
        <v>0.27472146767103661</v>
      </c>
    </row>
    <row r="17" spans="2:17" ht="20.100000000000001" customHeight="1" collapsed="1" thickTop="1" thickBot="1" x14ac:dyDescent="0.25">
      <c r="B17" s="55" t="s">
        <v>132</v>
      </c>
      <c r="C17" s="71"/>
      <c r="D17" s="59"/>
      <c r="E17" s="59"/>
      <c r="F17" s="59"/>
      <c r="G17" s="59"/>
    </row>
    <row r="18" spans="2:17" ht="20.100000000000001" customHeight="1" thickTop="1" thickBot="1" x14ac:dyDescent="0.25">
      <c r="B18" s="165"/>
      <c r="C18" s="165"/>
    </row>
    <row r="19" spans="2:17" ht="20.100000000000001" customHeight="1" thickTop="1" thickBot="1" x14ac:dyDescent="0.25">
      <c r="B19" s="50" t="s">
        <v>121</v>
      </c>
      <c r="C19" s="177">
        <v>3</v>
      </c>
      <c r="F19" s="50" t="s">
        <v>93</v>
      </c>
      <c r="G19" s="177" t="s">
        <v>122</v>
      </c>
    </row>
    <row r="20" spans="2:17" ht="20.100000000000001" customHeight="1" thickTop="1" thickBot="1" x14ac:dyDescent="0.25">
      <c r="F20" s="50" t="s">
        <v>145</v>
      </c>
      <c r="G20" s="177" t="s">
        <v>146</v>
      </c>
      <c r="L20" s="31"/>
    </row>
    <row r="21" spans="2:17" ht="20.100000000000001" customHeight="1" thickTop="1" thickBot="1" x14ac:dyDescent="0.25">
      <c r="B21" s="32"/>
      <c r="C21" s="33"/>
      <c r="E21" s="34"/>
      <c r="G21" s="187" t="s">
        <v>94</v>
      </c>
    </row>
    <row r="22" spans="2:17" ht="20.100000000000001" customHeight="1" thickTop="1" x14ac:dyDescent="0.2">
      <c r="B22" s="32"/>
      <c r="C22" s="33"/>
      <c r="E22" s="34"/>
      <c r="M22" s="34"/>
    </row>
    <row r="23" spans="2:17" ht="24.95" customHeight="1" x14ac:dyDescent="0.2">
      <c r="B23" s="290" t="s">
        <v>98</v>
      </c>
      <c r="C23" s="290"/>
      <c r="D23" s="290"/>
      <c r="E23" s="290"/>
      <c r="F23" s="290"/>
      <c r="G23" s="290"/>
      <c r="M23" s="34"/>
    </row>
    <row r="24" spans="2:17" ht="20.100000000000001" customHeight="1" x14ac:dyDescent="0.2">
      <c r="B24" s="285" t="s">
        <v>0</v>
      </c>
      <c r="C24" s="287" t="s">
        <v>1</v>
      </c>
      <c r="D24" s="288"/>
      <c r="E24" s="287" t="s">
        <v>91</v>
      </c>
      <c r="F24" s="288"/>
      <c r="G24" s="289" t="s">
        <v>92</v>
      </c>
    </row>
    <row r="25" spans="2:17" ht="20.100000000000001" customHeight="1" thickBot="1" x14ac:dyDescent="0.25">
      <c r="B25" s="286"/>
      <c r="C25" s="67" t="s">
        <v>7</v>
      </c>
      <c r="D25" s="68" t="s">
        <v>8</v>
      </c>
      <c r="E25" s="67" t="s">
        <v>7</v>
      </c>
      <c r="F25" s="68" t="s">
        <v>8</v>
      </c>
      <c r="G25" s="289"/>
    </row>
    <row r="26" spans="2:17" ht="20.100000000000001" customHeight="1" thickTop="1" thickBot="1" x14ac:dyDescent="0.25">
      <c r="B26" s="108" t="s">
        <v>156</v>
      </c>
      <c r="C26" s="105"/>
      <c r="D26" s="105"/>
      <c r="E26" s="105"/>
      <c r="F26" s="105"/>
      <c r="G26" s="71"/>
      <c r="I26" s="29" t="s">
        <v>105</v>
      </c>
    </row>
    <row r="27" spans="2:17" ht="20.100000000000001" customHeight="1" thickTop="1" thickBot="1" x14ac:dyDescent="0.25">
      <c r="B27" s="90" t="s">
        <v>135</v>
      </c>
      <c r="C27" s="104"/>
      <c r="D27" s="104"/>
      <c r="E27" s="104"/>
      <c r="F27" s="104"/>
      <c r="G27" s="72">
        <f>(SUM(C27:F27)*SUMPRODUCT((Inputs!$A$20:$A$63=$G$20)*(Inputs!$B$20:$B$63=B27)*Inputs!$C$20:$C$63)/'Guidelines and Rules'!$C$3)+(D27+F27)*Inputs!F21/'Guidelines and Rules'!$C$3</f>
        <v>0</v>
      </c>
      <c r="H27" s="182"/>
      <c r="I27" s="297" t="e">
        <f t="shared" ref="I27:I41" si="4">IF(Q27&gt;0%,Q27,"")</f>
        <v>#DIV/0!</v>
      </c>
      <c r="J27" s="298"/>
      <c r="P27" s="126">
        <f>G27</f>
        <v>0</v>
      </c>
      <c r="Q27" s="56" t="e">
        <f t="shared" ref="Q27:Q41" si="5">P27/$P$42</f>
        <v>#DIV/0!</v>
      </c>
    </row>
    <row r="28" spans="2:17" ht="20.100000000000001" customHeight="1" thickTop="1" thickBot="1" x14ac:dyDescent="0.25">
      <c r="B28" s="91" t="s">
        <v>2</v>
      </c>
      <c r="C28" s="104"/>
      <c r="D28" s="104"/>
      <c r="E28" s="104"/>
      <c r="F28" s="104"/>
      <c r="G28" s="72">
        <f>(SUM(C28:F28)*SUMPRODUCT((Inputs!$A$20:$A$63=$G$20)*(Inputs!$B$20:$B$63=B28)*Inputs!$C$20:$C$63)/'Guidelines and Rules'!$C$3)+(D28+F28)*Inputs!F22/'Guidelines and Rules'!$C$3</f>
        <v>0</v>
      </c>
      <c r="H28" s="182"/>
      <c r="I28" s="297" t="e">
        <f t="shared" si="4"/>
        <v>#DIV/0!</v>
      </c>
      <c r="J28" s="298"/>
      <c r="K28" s="182"/>
      <c r="L28" s="184"/>
      <c r="P28" s="126">
        <f t="shared" ref="P28:P42" si="6">G28</f>
        <v>0</v>
      </c>
      <c r="Q28" s="56" t="e">
        <f t="shared" si="5"/>
        <v>#DIV/0!</v>
      </c>
    </row>
    <row r="29" spans="2:17" ht="20.100000000000001" customHeight="1" thickTop="1" thickBot="1" x14ac:dyDescent="0.25">
      <c r="B29" s="91" t="s">
        <v>3</v>
      </c>
      <c r="C29" s="104"/>
      <c r="D29" s="104"/>
      <c r="E29" s="104"/>
      <c r="F29" s="104"/>
      <c r="G29" s="72">
        <f>(SUM(C29:F29)*SUMPRODUCT((Inputs!$A$20:$A$63=$G$20)*(Inputs!$B$20:$B$63=B29)*Inputs!$C$20:$C$63)/'Guidelines and Rules'!$C$3)+(D29+F29)*Inputs!F23/'Guidelines and Rules'!$C$3</f>
        <v>0</v>
      </c>
      <c r="H29" s="182"/>
      <c r="I29" s="297" t="e">
        <f t="shared" si="4"/>
        <v>#DIV/0!</v>
      </c>
      <c r="J29" s="298"/>
      <c r="K29" s="182"/>
      <c r="L29" s="184"/>
      <c r="P29" s="126">
        <f t="shared" si="6"/>
        <v>0</v>
      </c>
      <c r="Q29" s="56" t="e">
        <f t="shared" si="5"/>
        <v>#DIV/0!</v>
      </c>
    </row>
    <row r="30" spans="2:17" ht="20.100000000000001" customHeight="1" thickTop="1" thickBot="1" x14ac:dyDescent="0.25">
      <c r="B30" s="91" t="s">
        <v>69</v>
      </c>
      <c r="C30" s="104"/>
      <c r="D30" s="104"/>
      <c r="E30" s="104"/>
      <c r="F30" s="104"/>
      <c r="G30" s="72">
        <f>(SUM(C30:F30)*SUMPRODUCT((Inputs!$A$20:$A$63=$G$20)*(Inputs!$B$20:$B$63=B30)*Inputs!$C$20:$C$63)/'Guidelines and Rules'!$C$3)+(D30+F30)*Inputs!F24/'Guidelines and Rules'!$C$3</f>
        <v>0</v>
      </c>
      <c r="H30" s="182"/>
      <c r="I30" s="297" t="e">
        <f t="shared" si="4"/>
        <v>#DIV/0!</v>
      </c>
      <c r="J30" s="298"/>
      <c r="K30" s="182"/>
      <c r="L30" s="184"/>
      <c r="P30" s="126">
        <f t="shared" si="6"/>
        <v>0</v>
      </c>
      <c r="Q30" s="56" t="e">
        <f t="shared" si="5"/>
        <v>#DIV/0!</v>
      </c>
    </row>
    <row r="31" spans="2:17" ht="20.100000000000001" customHeight="1" thickTop="1" thickBot="1" x14ac:dyDescent="0.25">
      <c r="B31" s="91" t="s">
        <v>70</v>
      </c>
      <c r="C31" s="104"/>
      <c r="D31" s="104"/>
      <c r="E31" s="104"/>
      <c r="F31" s="104"/>
      <c r="G31" s="72">
        <f>(SUM(C31:F31)*SUMPRODUCT((Inputs!$A$20:$A$63=$G$20)*(Inputs!$B$20:$B$63=B31)*Inputs!$C$20:$C$63)/'Guidelines and Rules'!$C$3)+(D31+F31)*Inputs!F25/'Guidelines and Rules'!$C$3</f>
        <v>0</v>
      </c>
      <c r="H31" s="182"/>
      <c r="I31" s="297" t="e">
        <f t="shared" si="4"/>
        <v>#DIV/0!</v>
      </c>
      <c r="J31" s="298"/>
      <c r="K31" s="182"/>
      <c r="L31" s="184"/>
      <c r="O31" s="42"/>
      <c r="P31" s="126">
        <f t="shared" si="6"/>
        <v>0</v>
      </c>
      <c r="Q31" s="56" t="e">
        <f t="shared" si="5"/>
        <v>#DIV/0!</v>
      </c>
    </row>
    <row r="32" spans="2:17" ht="20.100000000000001" customHeight="1" thickTop="1" thickBot="1" x14ac:dyDescent="0.25">
      <c r="B32" s="91" t="s">
        <v>71</v>
      </c>
      <c r="C32" s="104"/>
      <c r="D32" s="104"/>
      <c r="E32" s="104"/>
      <c r="F32" s="104"/>
      <c r="G32" s="72">
        <f>(SUM(C32:F32)*SUMPRODUCT((Inputs!$A$20:$A$63=$G$20)*(Inputs!$B$20:$B$63=B32)*Inputs!$C$20:$C$63)/'Guidelines and Rules'!$C$3)+(D32+F32)*Inputs!F26/'Guidelines and Rules'!$C$3</f>
        <v>0</v>
      </c>
      <c r="H32" s="182"/>
      <c r="I32" s="297" t="e">
        <f t="shared" si="4"/>
        <v>#DIV/0!</v>
      </c>
      <c r="J32" s="298"/>
      <c r="K32" s="182"/>
      <c r="L32" s="184"/>
      <c r="P32" s="126">
        <f t="shared" si="6"/>
        <v>0</v>
      </c>
      <c r="Q32" s="56" t="e">
        <f t="shared" si="5"/>
        <v>#DIV/0!</v>
      </c>
    </row>
    <row r="33" spans="2:22" ht="20.100000000000001" customHeight="1" thickTop="1" thickBot="1" x14ac:dyDescent="0.25">
      <c r="B33" s="91" t="s">
        <v>72</v>
      </c>
      <c r="C33" s="104"/>
      <c r="D33" s="104"/>
      <c r="E33" s="106"/>
      <c r="F33" s="106"/>
      <c r="G33" s="72">
        <f>(SUM(C33:F33)*SUMPRODUCT((Inputs!$A$20:$A$63=$G$20)*(Inputs!$B$20:$B$63=B33)*Inputs!$C$20:$C$63)/'Guidelines and Rules'!$C$3)+(D33+F33)*Inputs!F27/'Guidelines and Rules'!$C$3</f>
        <v>0</v>
      </c>
      <c r="H33" s="182"/>
      <c r="I33" s="297" t="e">
        <f t="shared" si="4"/>
        <v>#DIV/0!</v>
      </c>
      <c r="J33" s="298"/>
      <c r="K33" s="182"/>
      <c r="L33" s="184"/>
      <c r="P33" s="126">
        <f t="shared" si="6"/>
        <v>0</v>
      </c>
      <c r="Q33" s="56" t="e">
        <f t="shared" si="5"/>
        <v>#DIV/0!</v>
      </c>
    </row>
    <row r="34" spans="2:22" ht="19.5" customHeight="1" thickTop="1" thickBot="1" x14ac:dyDescent="0.25">
      <c r="B34" s="91" t="s">
        <v>73</v>
      </c>
      <c r="C34" s="104"/>
      <c r="D34" s="104"/>
      <c r="E34" s="106"/>
      <c r="F34" s="106"/>
      <c r="G34" s="72">
        <f>(SUM(C34:F34)*SUMPRODUCT((Inputs!$A$20:$A$63=$G$20)*(Inputs!$B$20:$B$63=B34)*Inputs!$C$20:$C$63)/'Guidelines and Rules'!$C$3)+(D34+F34)*Inputs!F28/'Guidelines and Rules'!$C$3</f>
        <v>0</v>
      </c>
      <c r="H34" s="182"/>
      <c r="I34" s="297" t="e">
        <f t="shared" si="4"/>
        <v>#DIV/0!</v>
      </c>
      <c r="J34" s="298"/>
      <c r="K34" s="182"/>
      <c r="L34" s="184"/>
      <c r="P34" s="126">
        <f t="shared" si="6"/>
        <v>0</v>
      </c>
      <c r="Q34" s="56" t="e">
        <f t="shared" si="5"/>
        <v>#DIV/0!</v>
      </c>
    </row>
    <row r="35" spans="2:22" ht="19.5" customHeight="1" thickTop="1" thickBot="1" x14ac:dyDescent="0.25">
      <c r="B35" s="192" t="s">
        <v>154</v>
      </c>
      <c r="C35" s="104"/>
      <c r="D35" s="104"/>
      <c r="E35" s="106"/>
      <c r="F35" s="106"/>
      <c r="G35" s="72">
        <f>H35/'Guidelines and Rules'!C3</f>
        <v>0</v>
      </c>
      <c r="H35" s="178"/>
      <c r="I35" s="297" t="e">
        <f t="shared" ref="I35" si="7">IF(Q35&gt;0%,Q35,"")</f>
        <v>#DIV/0!</v>
      </c>
      <c r="J35" s="298"/>
      <c r="K35" s="182"/>
      <c r="L35" s="184"/>
      <c r="O35" s="40"/>
      <c r="P35" s="126">
        <f t="shared" si="6"/>
        <v>0</v>
      </c>
      <c r="Q35" s="56" t="e">
        <f t="shared" si="5"/>
        <v>#DIV/0!</v>
      </c>
    </row>
    <row r="36" spans="2:22" ht="20.100000000000001" customHeight="1" thickTop="1" thickBot="1" x14ac:dyDescent="0.25">
      <c r="B36" s="109" t="s">
        <v>102</v>
      </c>
      <c r="C36" s="104"/>
      <c r="D36" s="104"/>
      <c r="E36" s="106"/>
      <c r="F36" s="106"/>
      <c r="G36" s="72">
        <f>(SUM(C36:F36)*SUMPRODUCT((Inputs!$A$20:$A$52=$G$20)*(Inputs!$B$20:$B$52=B36)*(Inputs!$C$20:$C$52/20/8))/'Guidelines and Rules'!$C$3)</f>
        <v>0</v>
      </c>
      <c r="I36" s="297" t="e">
        <f t="shared" si="4"/>
        <v>#DIV/0!</v>
      </c>
      <c r="J36" s="298"/>
      <c r="K36" s="182"/>
      <c r="L36" s="184"/>
      <c r="O36" s="40"/>
      <c r="P36" s="126">
        <f t="shared" si="6"/>
        <v>0</v>
      </c>
      <c r="Q36" s="56" t="e">
        <f t="shared" si="5"/>
        <v>#DIV/0!</v>
      </c>
    </row>
    <row r="37" spans="2:22" ht="20.25" customHeight="1" thickTop="1" x14ac:dyDescent="0.2">
      <c r="B37" s="110" t="s">
        <v>150</v>
      </c>
      <c r="C37" s="105"/>
      <c r="D37" s="105"/>
      <c r="E37" s="105"/>
      <c r="F37" s="105"/>
      <c r="G37" s="72">
        <f>(SUM(C42:F42)*SUMPRODUCT((Inputs!$A$20:$A$52=$G$20)*(Inputs!$B$20:$B$52=B37)*Inputs!$C$20:$C$52)/'Guidelines and Rules'!$C$3)</f>
        <v>0</v>
      </c>
      <c r="I37" s="297" t="e">
        <f t="shared" si="4"/>
        <v>#DIV/0!</v>
      </c>
      <c r="J37" s="298"/>
      <c r="K37" s="182"/>
      <c r="L37" s="184"/>
      <c r="P37" s="126">
        <f t="shared" si="6"/>
        <v>0</v>
      </c>
      <c r="Q37" s="56" t="e">
        <f t="shared" si="5"/>
        <v>#DIV/0!</v>
      </c>
      <c r="R37" s="53"/>
      <c r="S37" s="53"/>
      <c r="T37" s="53"/>
      <c r="U37" s="53"/>
      <c r="V37" s="53"/>
    </row>
    <row r="38" spans="2:22" ht="20.100000000000001" customHeight="1" thickBot="1" x14ac:dyDescent="0.25">
      <c r="B38" s="112" t="s">
        <v>151</v>
      </c>
      <c r="C38" s="106"/>
      <c r="D38" s="106"/>
      <c r="E38" s="106"/>
      <c r="F38" s="106"/>
      <c r="G38" s="72">
        <f>(SUM(C42:F42)*SUMPRODUCT((Inputs!$A$20:$A$52=$G$20)*(Inputs!$B$20:$B$52=B38)*Inputs!$C$20:$C$52)/'Guidelines and Rules'!$C$3)</f>
        <v>0</v>
      </c>
      <c r="H38" s="182"/>
      <c r="I38" s="297" t="e">
        <f>IF(Q38&gt;0%,Q38,"")</f>
        <v>#DIV/0!</v>
      </c>
      <c r="J38" s="298"/>
      <c r="K38" s="182"/>
      <c r="L38" s="184"/>
      <c r="M38" s="53"/>
      <c r="N38" s="53"/>
      <c r="O38" s="53"/>
      <c r="P38" s="126">
        <f>G38</f>
        <v>0</v>
      </c>
      <c r="Q38" s="56" t="e">
        <f t="shared" si="5"/>
        <v>#DIV/0!</v>
      </c>
      <c r="R38" s="53"/>
      <c r="S38" s="53"/>
      <c r="T38" s="53"/>
      <c r="U38" s="53"/>
      <c r="V38" s="53"/>
    </row>
    <row r="39" spans="2:22" ht="20.100000000000001" customHeight="1" thickTop="1" thickBot="1" x14ac:dyDescent="0.25">
      <c r="B39" s="111" t="s">
        <v>155</v>
      </c>
      <c r="C39" s="106"/>
      <c r="D39" s="106"/>
      <c r="E39" s="106"/>
      <c r="F39" s="106"/>
      <c r="G39" s="74">
        <f>IF(G20="DAC",0,IF(H39="",(G26*1%),H39))</f>
        <v>0</v>
      </c>
      <c r="H39" s="178"/>
      <c r="I39" s="297" t="e">
        <f t="shared" ref="I39" si="8">IF(Q39&gt;0%,Q39,"")</f>
        <v>#DIV/0!</v>
      </c>
      <c r="J39" s="298"/>
      <c r="K39" s="182"/>
      <c r="L39" s="184"/>
      <c r="M39" s="53"/>
      <c r="N39" s="53"/>
      <c r="O39" s="53"/>
      <c r="P39" s="126">
        <f t="shared" si="6"/>
        <v>0</v>
      </c>
      <c r="Q39" s="56" t="e">
        <f t="shared" si="5"/>
        <v>#DIV/0!</v>
      </c>
      <c r="R39" s="53"/>
      <c r="S39" s="53"/>
      <c r="T39" s="53"/>
      <c r="U39" s="53"/>
      <c r="V39" s="53"/>
    </row>
    <row r="40" spans="2:22" ht="20.100000000000001" customHeight="1" thickTop="1" thickBot="1" x14ac:dyDescent="0.25">
      <c r="B40" s="113" t="s">
        <v>29</v>
      </c>
      <c r="C40" s="106"/>
      <c r="D40" s="106"/>
      <c r="E40" s="106"/>
      <c r="F40" s="106"/>
      <c r="G40" s="73">
        <f>IFERROR(IF(H40="",VLOOKUP(G19,'Guidelines and Rules'!E3:F6,2,0)*SUM(G26:G26),H40),0)</f>
        <v>0</v>
      </c>
      <c r="H40" s="182"/>
      <c r="I40" s="297" t="e">
        <f t="shared" si="4"/>
        <v>#DIV/0!</v>
      </c>
      <c r="J40" s="298"/>
      <c r="L40" s="53"/>
      <c r="M40" s="53"/>
      <c r="N40" s="53"/>
      <c r="O40" s="53"/>
      <c r="P40" s="126">
        <f t="shared" si="6"/>
        <v>0</v>
      </c>
      <c r="Q40" s="56" t="e">
        <f t="shared" si="5"/>
        <v>#DIV/0!</v>
      </c>
      <c r="R40" s="53"/>
      <c r="S40" s="53"/>
      <c r="T40" s="53"/>
      <c r="U40" s="53"/>
      <c r="V40" s="53"/>
    </row>
    <row r="41" spans="2:22" ht="20.100000000000001" customHeight="1" thickTop="1" thickBot="1" x14ac:dyDescent="0.25">
      <c r="B41" s="113" t="s">
        <v>88</v>
      </c>
      <c r="C41" s="73"/>
      <c r="D41" s="73"/>
      <c r="E41" s="73"/>
      <c r="F41" s="73"/>
      <c r="G41" s="73">
        <f>IF(H41="",VLOOKUP(G19,'Guidelines and Rules'!E11:F16,2,0)*G26,H41)</f>
        <v>0</v>
      </c>
      <c r="H41" s="178"/>
      <c r="I41" s="297" t="e">
        <f t="shared" si="4"/>
        <v>#DIV/0!</v>
      </c>
      <c r="J41" s="298"/>
      <c r="K41" s="46"/>
      <c r="L41" s="53"/>
      <c r="M41" s="53"/>
      <c r="N41" s="53"/>
      <c r="O41" s="53"/>
      <c r="P41" s="126">
        <f t="shared" si="6"/>
        <v>0</v>
      </c>
      <c r="Q41" s="56" t="e">
        <f t="shared" si="5"/>
        <v>#DIV/0!</v>
      </c>
      <c r="R41" s="53"/>
      <c r="S41" s="53"/>
      <c r="T41" s="53"/>
      <c r="U41" s="53"/>
      <c r="V41" s="53"/>
    </row>
    <row r="42" spans="2:22" ht="20.100000000000001" customHeight="1" thickTop="1" x14ac:dyDescent="0.2">
      <c r="B42" s="70" t="s">
        <v>53</v>
      </c>
      <c r="C42" s="77">
        <f>IFERROR(SUM(C27:C34),"")</f>
        <v>0</v>
      </c>
      <c r="D42" s="77">
        <f>IFERROR(SUM(D27:D34),"")</f>
        <v>0</v>
      </c>
      <c r="E42" s="77">
        <f>IFERROR(SUM(E27:E33),"")</f>
        <v>0</v>
      </c>
      <c r="F42" s="77">
        <f>IFERROR(SUM(F27:F33),"")</f>
        <v>0</v>
      </c>
      <c r="G42" s="78">
        <f>SUM(G27:G41)</f>
        <v>0</v>
      </c>
      <c r="K42" s="46"/>
      <c r="L42" s="53"/>
      <c r="M42" s="53"/>
      <c r="N42" s="53"/>
      <c r="O42" s="149"/>
      <c r="P42" s="126">
        <f t="shared" si="6"/>
        <v>0</v>
      </c>
      <c r="Q42" s="48"/>
      <c r="R42" s="53"/>
      <c r="S42" s="53"/>
      <c r="T42" s="53"/>
      <c r="U42" s="53"/>
      <c r="V42" s="53"/>
    </row>
    <row r="43" spans="2:22" ht="20.100000000000001" customHeight="1" x14ac:dyDescent="0.2">
      <c r="L43" s="53"/>
      <c r="M43" s="53"/>
      <c r="N43" s="149"/>
      <c r="O43" s="149"/>
    </row>
    <row r="44" spans="2:22" ht="20.100000000000001" customHeight="1" thickBot="1" x14ac:dyDescent="0.25">
      <c r="B44" s="32"/>
      <c r="C44" s="49"/>
      <c r="N44" s="47"/>
    </row>
    <row r="45" spans="2:22" ht="20.100000000000001" customHeight="1" thickTop="1" thickBot="1" x14ac:dyDescent="0.25">
      <c r="B45" s="32"/>
      <c r="C45" s="33"/>
      <c r="D45" s="30"/>
      <c r="E45" s="31"/>
      <c r="F45" s="79" t="s">
        <v>99</v>
      </c>
      <c r="G45" s="177" t="s">
        <v>122</v>
      </c>
      <c r="N45" s="47"/>
    </row>
    <row r="46" spans="2:22" ht="20.100000000000001" customHeight="1" thickTop="1" thickBot="1" x14ac:dyDescent="0.25">
      <c r="B46" s="32"/>
      <c r="C46" s="33"/>
      <c r="D46" s="30"/>
      <c r="E46" s="31"/>
      <c r="F46" s="50"/>
    </row>
    <row r="47" spans="2:22" ht="20.100000000000001" customHeight="1" thickTop="1" thickBot="1" x14ac:dyDescent="0.25">
      <c r="B47" s="32"/>
      <c r="C47" s="33"/>
      <c r="D47" s="30"/>
      <c r="E47" s="31"/>
      <c r="F47" s="50"/>
      <c r="G47" s="176" t="s">
        <v>94</v>
      </c>
    </row>
    <row r="48" spans="2:22" ht="20.100000000000001" customHeight="1" thickTop="1" x14ac:dyDescent="0.2">
      <c r="B48" s="32"/>
      <c r="C48" s="33"/>
      <c r="D48" s="30"/>
      <c r="E48" s="31"/>
      <c r="F48" s="50"/>
    </row>
    <row r="49" spans="2:15" ht="24.95" customHeight="1" x14ac:dyDescent="0.2">
      <c r="B49" s="98" t="s">
        <v>100</v>
      </c>
      <c r="C49" s="57"/>
      <c r="D49" s="57"/>
      <c r="E49" s="57"/>
      <c r="F49" s="57"/>
      <c r="G49" s="57"/>
      <c r="H49" s="57"/>
      <c r="I49" s="57"/>
      <c r="J49" s="57"/>
      <c r="K49" s="57"/>
      <c r="L49" s="57"/>
      <c r="M49" s="57"/>
    </row>
    <row r="50" spans="2:15" ht="20.100000000000001" customHeight="1" x14ac:dyDescent="0.2">
      <c r="B50" s="285" t="s">
        <v>0</v>
      </c>
      <c r="C50" s="289" t="s">
        <v>24</v>
      </c>
      <c r="D50" s="289" t="s">
        <v>46</v>
      </c>
      <c r="E50" s="289" t="s">
        <v>37</v>
      </c>
      <c r="F50" s="289" t="s">
        <v>13</v>
      </c>
      <c r="G50" s="289" t="s">
        <v>14</v>
      </c>
      <c r="H50" s="289" t="s">
        <v>26</v>
      </c>
      <c r="I50" s="289" t="s">
        <v>21</v>
      </c>
      <c r="J50" s="289" t="s">
        <v>15</v>
      </c>
      <c r="K50" s="289" t="s">
        <v>27</v>
      </c>
      <c r="L50" s="289" t="s">
        <v>42</v>
      </c>
      <c r="M50" s="289" t="s">
        <v>43</v>
      </c>
    </row>
    <row r="51" spans="2:15" ht="20.100000000000001" customHeight="1" thickBot="1" x14ac:dyDescent="0.25">
      <c r="B51" s="286"/>
      <c r="C51" s="289"/>
      <c r="D51" s="289"/>
      <c r="E51" s="289"/>
      <c r="F51" s="292"/>
      <c r="G51" s="292"/>
      <c r="H51" s="289"/>
      <c r="I51" s="292"/>
      <c r="J51" s="292"/>
      <c r="K51" s="292"/>
      <c r="L51" s="292"/>
      <c r="M51" s="292"/>
    </row>
    <row r="52" spans="2:15" ht="20.100000000000001" customHeight="1" thickTop="1" thickBot="1" x14ac:dyDescent="0.25">
      <c r="B52" s="293" t="s">
        <v>12</v>
      </c>
      <c r="C52" s="80"/>
      <c r="D52" s="80"/>
      <c r="E52" s="80"/>
      <c r="F52" s="84">
        <f>IFERROR(IF(VLOOKUP(C52&amp;D52,'Guidelines and Rules'!$G$2:$K$14,5,0)="",VLOOKUP(C52&amp;D52,'Guidelines and Rules'!$G$2:$K$14,4,0),VLOOKUP(C52&amp;D52,'Guidelines and Rules'!$G$2:$K$14,5,0)),0)</f>
        <v>0</v>
      </c>
      <c r="G52" s="84">
        <f>IFERROR(VLOOKUP(C52&amp;D52,'Guidelines and Rules'!$G$2:$N$14,8,0),0)</f>
        <v>0</v>
      </c>
      <c r="H52" s="81"/>
      <c r="I52" s="82">
        <f>IFERROR(VLOOKUP(D52,'Guidelines and Rules'!$I$3:$M$14,5,0),0)</f>
        <v>0</v>
      </c>
      <c r="J52" s="82">
        <f>IFERROR(VLOOKUP(D52,'Guidelines and Rules'!$I$3:$N$14,4,0),0)</f>
        <v>0</v>
      </c>
      <c r="K52" s="82">
        <f>IFERROR(VLOOKUP(J52,'Guidelines and Rules'!$J$17:$K$19,2,0),0)</f>
        <v>0</v>
      </c>
      <c r="L52" s="85" t="str">
        <f>IFERROR(VLOOKUP(I52,'Guidelines and Rules'!$B$8:$C$11,2,0)*(F52*H52*K52),"")</f>
        <v/>
      </c>
      <c r="M52" s="83" t="str">
        <f>IFERROR((1+(VLOOKUP(E52,'Guidelines and Rules'!$B$6:$C$7,2,0)))*(VLOOKUP(I52,'Guidelines and Rules'!$B$8:$C$11,2,0)*(G52*H52*K52)),"")</f>
        <v/>
      </c>
    </row>
    <row r="53" spans="2:15" ht="20.100000000000001" customHeight="1" thickTop="1" thickBot="1" x14ac:dyDescent="0.25">
      <c r="B53" s="294"/>
      <c r="C53" s="80"/>
      <c r="D53" s="80"/>
      <c r="E53" s="80"/>
      <c r="F53" s="84">
        <f>IFERROR(IF(VLOOKUP(C53&amp;D53,'Guidelines and Rules'!$G$2:$K$14,5,0)="",VLOOKUP(C53&amp;D53,'Guidelines and Rules'!$G$2:$K$14,4,0),VLOOKUP(C53&amp;D53,'Guidelines and Rules'!$G$2:$K$14,5,0)),0)</f>
        <v>0</v>
      </c>
      <c r="G53" s="84">
        <f>IFERROR(VLOOKUP(C53&amp;D53,'Guidelines and Rules'!$G$2:$N$14,8,0),0)</f>
        <v>0</v>
      </c>
      <c r="H53" s="81"/>
      <c r="I53" s="82">
        <f>IFERROR(VLOOKUP(D53,'Guidelines and Rules'!$I$3:$M$14,5,0),0)</f>
        <v>0</v>
      </c>
      <c r="J53" s="82">
        <f>IFERROR(VLOOKUP(D53,'Guidelines and Rules'!$I$3:$N$14,4,0),0)</f>
        <v>0</v>
      </c>
      <c r="K53" s="82">
        <f>IFERROR(VLOOKUP(J53,'Guidelines and Rules'!$J$17:$K$19,2,0),0)</f>
        <v>0</v>
      </c>
      <c r="L53" s="85" t="str">
        <f>IFERROR(VLOOKUP(I53,'Guidelines and Rules'!$B$8:$C$11,2,0)*(F53*H53*K53),"")</f>
        <v/>
      </c>
      <c r="M53" s="86" t="str">
        <f>IFERROR((1+(VLOOKUP(E53,'Guidelines and Rules'!$B$6:$C$7,2,0)))*(VLOOKUP(I53,'Guidelines and Rules'!$B$8:$C$11,2,0)*(G53*H53*K53)),"")</f>
        <v/>
      </c>
      <c r="N53" s="164"/>
    </row>
    <row r="54" spans="2:15" ht="20.100000000000001" customHeight="1" thickTop="1" thickBot="1" x14ac:dyDescent="0.25">
      <c r="B54" s="295"/>
      <c r="C54" s="80"/>
      <c r="D54" s="80"/>
      <c r="E54" s="80"/>
      <c r="F54" s="84">
        <f>IFERROR(IF(VLOOKUP(C54&amp;D54,'Guidelines and Rules'!$G$2:$K$14,5,0)="",VLOOKUP(C54&amp;D54,'Guidelines and Rules'!$G$2:$K$14,4,0),VLOOKUP(C54&amp;D54,'Guidelines and Rules'!$G$2:$K$14,5,0)),0)</f>
        <v>0</v>
      </c>
      <c r="G54" s="84">
        <f>IFERROR(VLOOKUP(C54&amp;D54,'Guidelines and Rules'!$G$2:$N$14,8,0),0)</f>
        <v>0</v>
      </c>
      <c r="H54" s="81"/>
      <c r="I54" s="82">
        <f>IFERROR(VLOOKUP(D54,'Guidelines and Rules'!$I$3:$M$14,5,0),0)</f>
        <v>0</v>
      </c>
      <c r="J54" s="82">
        <f>IFERROR(VLOOKUP(D54,'Guidelines and Rules'!$I$3:$N$14,4,0),0)</f>
        <v>0</v>
      </c>
      <c r="K54" s="82">
        <f>IFERROR(VLOOKUP(J54,'Guidelines and Rules'!$J$17:$K$19,2,0),0)</f>
        <v>0</v>
      </c>
      <c r="L54" s="87" t="str">
        <f>IFERROR(VLOOKUP(I54,'Guidelines and Rules'!$B$8:$C$11,2,0)*(F54*H54*K54),"")</f>
        <v/>
      </c>
      <c r="M54" s="88" t="str">
        <f>IFERROR((1+(VLOOKUP(E54,'Guidelines and Rules'!$B$6:$C$7,2,0)))*(VLOOKUP(I54,'Guidelines and Rules'!$B$8:$C$11,2,0)*(G54*H54*K54)),"")</f>
        <v/>
      </c>
      <c r="N54" s="48"/>
    </row>
    <row r="55" spans="2:15" ht="20.100000000000001" customHeight="1" thickTop="1" x14ac:dyDescent="0.2">
      <c r="B55" s="89" t="s">
        <v>29</v>
      </c>
      <c r="C55" s="69"/>
      <c r="D55" s="69"/>
      <c r="E55" s="69"/>
      <c r="F55" s="94"/>
      <c r="G55" s="94"/>
      <c r="H55" s="95"/>
      <c r="I55" s="54"/>
      <c r="J55" s="54"/>
      <c r="K55" s="54"/>
      <c r="L55" s="76"/>
      <c r="M55" s="186">
        <f>IF(N56="",VLOOKUP(G45,'Guidelines and Rules'!E3:F8,2,0)*SUM(L52:L54),N56)</f>
        <v>0</v>
      </c>
      <c r="N55" s="56"/>
    </row>
    <row r="56" spans="2:15" ht="20.100000000000001" customHeight="1" x14ac:dyDescent="0.2">
      <c r="B56" s="92" t="s">
        <v>88</v>
      </c>
      <c r="C56" s="55"/>
      <c r="D56" s="55"/>
      <c r="E56" s="55"/>
      <c r="F56" s="93"/>
      <c r="G56" s="93"/>
      <c r="H56" s="93"/>
      <c r="I56" s="55"/>
      <c r="J56" s="55"/>
      <c r="L56" s="96"/>
      <c r="M56" s="186">
        <f>IF(N57="",VLOOKUP(G45,'Guidelines and Rules'!E19:F23,2,0)*SUM(L52:L54),N57)</f>
        <v>0</v>
      </c>
      <c r="N56" s="56"/>
      <c r="O56" s="46"/>
    </row>
    <row r="57" spans="2:15" ht="20.100000000000001" customHeight="1" x14ac:dyDescent="0.2">
      <c r="B57" s="70" t="s">
        <v>11</v>
      </c>
      <c r="C57" s="70"/>
      <c r="D57" s="70"/>
      <c r="E57" s="70"/>
      <c r="F57" s="70" t="str">
        <f>IFERROR(SUM(#REF!),"")</f>
        <v/>
      </c>
      <c r="G57" s="70" t="str">
        <f>IFERROR(SUM(#REF!),"")</f>
        <v/>
      </c>
      <c r="H57" s="97">
        <f>IFERROR(SUM(H52:H54),"")</f>
        <v>0</v>
      </c>
      <c r="I57" s="70"/>
      <c r="J57" s="70"/>
      <c r="K57" s="70"/>
      <c r="L57" s="123">
        <f>SUM(L52:L54)</f>
        <v>0</v>
      </c>
      <c r="M57" s="124">
        <f>SUM(M52:M56)</f>
        <v>0</v>
      </c>
      <c r="N57" s="56"/>
      <c r="O57" s="46"/>
    </row>
    <row r="58" spans="2:15" ht="20.100000000000001" customHeight="1" thickBot="1" x14ac:dyDescent="0.25"/>
    <row r="59" spans="2:15" ht="20.100000000000001" customHeight="1" thickTop="1" thickBot="1" x14ac:dyDescent="0.25">
      <c r="F59" s="79" t="s">
        <v>99</v>
      </c>
      <c r="G59" s="177" t="s">
        <v>122</v>
      </c>
    </row>
    <row r="60" spans="2:15" ht="20.100000000000001" customHeight="1" thickTop="1" thickBot="1" x14ac:dyDescent="0.25">
      <c r="F60" s="75"/>
      <c r="G60" s="75"/>
    </row>
    <row r="61" spans="2:15" ht="20.100000000000001" customHeight="1" thickTop="1" thickBot="1" x14ac:dyDescent="0.25">
      <c r="F61" s="75"/>
      <c r="G61" s="176" t="s">
        <v>94</v>
      </c>
    </row>
    <row r="62" spans="2:15" ht="20.100000000000001" customHeight="1" thickTop="1" x14ac:dyDescent="0.2">
      <c r="G62" s="58"/>
    </row>
    <row r="63" spans="2:15" ht="24.95" customHeight="1" x14ac:dyDescent="0.2">
      <c r="B63" s="296" t="s">
        <v>101</v>
      </c>
      <c r="C63" s="296"/>
      <c r="D63" s="296"/>
      <c r="E63" s="296"/>
      <c r="F63" s="296"/>
      <c r="G63" s="296"/>
    </row>
    <row r="64" spans="2:15" ht="20.100000000000001" customHeight="1" x14ac:dyDescent="0.2">
      <c r="B64" s="285" t="s">
        <v>0</v>
      </c>
      <c r="C64" s="287" t="s">
        <v>1</v>
      </c>
      <c r="D64" s="288"/>
      <c r="E64" s="287" t="s">
        <v>91</v>
      </c>
      <c r="F64" s="288"/>
      <c r="G64" s="289" t="s">
        <v>92</v>
      </c>
    </row>
    <row r="65" spans="2:17" ht="20.100000000000001" customHeight="1" thickBot="1" x14ac:dyDescent="0.25">
      <c r="B65" s="286"/>
      <c r="C65" s="67" t="s">
        <v>7</v>
      </c>
      <c r="D65" s="68" t="s">
        <v>8</v>
      </c>
      <c r="E65" s="67" t="s">
        <v>7</v>
      </c>
      <c r="F65" s="68" t="s">
        <v>8</v>
      </c>
      <c r="G65" s="289"/>
    </row>
    <row r="66" spans="2:17" ht="20.100000000000001" customHeight="1" thickTop="1" thickBot="1" x14ac:dyDescent="0.25">
      <c r="B66" s="102" t="s">
        <v>32</v>
      </c>
      <c r="C66" s="101"/>
      <c r="D66" s="101"/>
      <c r="E66" s="101"/>
      <c r="F66" s="101"/>
      <c r="G66" s="99">
        <v>33333</v>
      </c>
    </row>
    <row r="67" spans="2:17" ht="20.100000000000001" customHeight="1" thickTop="1" thickBot="1" x14ac:dyDescent="0.25">
      <c r="B67" s="102" t="s">
        <v>157</v>
      </c>
      <c r="C67" s="101"/>
      <c r="D67" s="101"/>
      <c r="E67" s="101"/>
      <c r="F67" s="101"/>
      <c r="G67" s="99"/>
    </row>
    <row r="68" spans="2:17" ht="20.100000000000001" customHeight="1" thickTop="1" thickBot="1" x14ac:dyDescent="0.25">
      <c r="B68" s="103" t="s">
        <v>38</v>
      </c>
      <c r="C68" s="100"/>
      <c r="D68" s="100"/>
      <c r="E68" s="100"/>
      <c r="F68" s="100"/>
      <c r="G68" s="99"/>
      <c r="I68" s="53" t="s">
        <v>105</v>
      </c>
    </row>
    <row r="69" spans="2:17" ht="20.100000000000001" customHeight="1" thickTop="1" thickBot="1" x14ac:dyDescent="0.25">
      <c r="B69" s="91" t="s">
        <v>2</v>
      </c>
      <c r="C69" s="100"/>
      <c r="D69" s="100"/>
      <c r="E69" s="100"/>
      <c r="F69" s="100"/>
      <c r="G69" s="72">
        <f>(SUM(C69:F69)*Inputs!I21/'Guidelines and Rules'!C$3)</f>
        <v>0</v>
      </c>
      <c r="I69" s="297" t="str">
        <f t="shared" ref="I69:I81" si="9">IF(Q69&gt;0%,Q69,"")</f>
        <v/>
      </c>
      <c r="J69" s="298"/>
      <c r="K69" s="183"/>
      <c r="L69" s="183"/>
      <c r="P69" s="126">
        <f>G69</f>
        <v>0</v>
      </c>
      <c r="Q69" s="56">
        <f>P69/$P$82</f>
        <v>0</v>
      </c>
    </row>
    <row r="70" spans="2:17" ht="20.100000000000001" customHeight="1" thickTop="1" thickBot="1" x14ac:dyDescent="0.25">
      <c r="B70" s="91" t="s">
        <v>3</v>
      </c>
      <c r="C70" s="100">
        <v>2</v>
      </c>
      <c r="D70" s="100"/>
      <c r="E70" s="100"/>
      <c r="F70" s="100"/>
      <c r="G70" s="73">
        <f>(SUM(C70:F70)*Inputs!I22/'Guidelines and Rules'!C$3)</f>
        <v>1472.1964020938174</v>
      </c>
      <c r="I70" s="297">
        <f t="shared" si="9"/>
        <v>9.4720924648943675E-2</v>
      </c>
      <c r="J70" s="298"/>
      <c r="K70" s="183"/>
      <c r="L70" s="183"/>
      <c r="P70" s="126">
        <f t="shared" ref="P70:P82" si="10">G70</f>
        <v>1472.1964020938174</v>
      </c>
      <c r="Q70" s="56">
        <f t="shared" ref="Q70:Q81" si="11">P70/$P$82</f>
        <v>9.4720924648943675E-2</v>
      </c>
    </row>
    <row r="71" spans="2:17" ht="20.100000000000001" customHeight="1" thickTop="1" thickBot="1" x14ac:dyDescent="0.25">
      <c r="B71" s="91" t="s">
        <v>4</v>
      </c>
      <c r="C71" s="100">
        <v>2</v>
      </c>
      <c r="D71" s="100"/>
      <c r="E71" s="100"/>
      <c r="F71" s="100"/>
      <c r="G71" s="73">
        <f>(SUM(C71:F71)*Inputs!I23/'Guidelines and Rules'!C$3)</f>
        <v>3171.8861669580415</v>
      </c>
      <c r="I71" s="297">
        <f t="shared" si="9"/>
        <v>0.20407874261080641</v>
      </c>
      <c r="J71" s="298"/>
      <c r="K71" s="183"/>
      <c r="L71" s="183"/>
      <c r="P71" s="126">
        <f t="shared" si="10"/>
        <v>3171.8861669580415</v>
      </c>
      <c r="Q71" s="56">
        <f t="shared" si="11"/>
        <v>0.20407874261080641</v>
      </c>
    </row>
    <row r="72" spans="2:17" ht="20.100000000000001" customHeight="1" thickTop="1" thickBot="1" x14ac:dyDescent="0.25">
      <c r="B72" s="91" t="s">
        <v>5</v>
      </c>
      <c r="C72" s="100">
        <v>2</v>
      </c>
      <c r="D72" s="100"/>
      <c r="E72" s="100"/>
      <c r="F72" s="100"/>
      <c r="G72" s="73">
        <f>(SUM(C72:F72)*Inputs!I24/'Guidelines and Rules'!C$3)</f>
        <v>4200.2753644540935</v>
      </c>
      <c r="I72" s="297">
        <f t="shared" si="9"/>
        <v>0.27024516955443345</v>
      </c>
      <c r="J72" s="298"/>
      <c r="K72" s="183"/>
      <c r="L72" s="183"/>
      <c r="P72" s="126">
        <f t="shared" si="10"/>
        <v>4200.2753644540935</v>
      </c>
      <c r="Q72" s="56">
        <f t="shared" si="11"/>
        <v>0.27024516955443345</v>
      </c>
    </row>
    <row r="73" spans="2:17" ht="20.100000000000001" customHeight="1" thickTop="1" thickBot="1" x14ac:dyDescent="0.25">
      <c r="B73" s="91" t="s">
        <v>6</v>
      </c>
      <c r="C73" s="100"/>
      <c r="D73" s="100"/>
      <c r="E73" s="100"/>
      <c r="F73" s="100"/>
      <c r="G73" s="73">
        <f>(SUM(C73:F73)*Inputs!I25/'Guidelines and Rules'!C$3)</f>
        <v>0</v>
      </c>
      <c r="I73" s="297" t="str">
        <f t="shared" si="9"/>
        <v/>
      </c>
      <c r="J73" s="298"/>
      <c r="K73" s="183"/>
      <c r="L73" s="183"/>
      <c r="P73" s="126">
        <f t="shared" si="10"/>
        <v>0</v>
      </c>
      <c r="Q73" s="56">
        <f t="shared" si="11"/>
        <v>0</v>
      </c>
    </row>
    <row r="74" spans="2:17" ht="20.100000000000001" customHeight="1" thickTop="1" thickBot="1" x14ac:dyDescent="0.25">
      <c r="B74" s="91" t="s">
        <v>72</v>
      </c>
      <c r="C74" s="100"/>
      <c r="D74" s="100"/>
      <c r="E74" s="100"/>
      <c r="F74" s="100"/>
      <c r="G74" s="73">
        <f>(SUM(C74:F74)*Inputs!I26/'Guidelines and Rules'!C$3)</f>
        <v>0</v>
      </c>
      <c r="I74" s="297" t="str">
        <f t="shared" si="9"/>
        <v/>
      </c>
      <c r="J74" s="298"/>
      <c r="K74" s="183"/>
      <c r="L74" s="183"/>
      <c r="P74" s="126">
        <f t="shared" si="10"/>
        <v>0</v>
      </c>
      <c r="Q74" s="56">
        <f t="shared" si="11"/>
        <v>0</v>
      </c>
    </row>
    <row r="75" spans="2:17" ht="20.100000000000001" customHeight="1" thickTop="1" thickBot="1" x14ac:dyDescent="0.25">
      <c r="B75" s="91" t="s">
        <v>34</v>
      </c>
      <c r="C75" s="100"/>
      <c r="D75" s="100"/>
      <c r="E75" s="100"/>
      <c r="F75" s="100"/>
      <c r="G75" s="73">
        <f>(SUM(C75:F75)*Inputs!I27/'Guidelines and Rules'!C$3)</f>
        <v>0</v>
      </c>
      <c r="I75" s="297" t="str">
        <f t="shared" si="9"/>
        <v/>
      </c>
      <c r="J75" s="298"/>
      <c r="K75" s="183"/>
      <c r="L75" s="183"/>
      <c r="P75" s="126">
        <f t="shared" si="10"/>
        <v>0</v>
      </c>
      <c r="Q75" s="56">
        <f t="shared" si="11"/>
        <v>0</v>
      </c>
    </row>
    <row r="76" spans="2:17" ht="20.100000000000001" customHeight="1" thickTop="1" thickBot="1" x14ac:dyDescent="0.25">
      <c r="B76" s="91" t="s">
        <v>154</v>
      </c>
      <c r="C76" s="100"/>
      <c r="D76" s="100"/>
      <c r="E76" s="100"/>
      <c r="F76" s="100"/>
      <c r="G76" s="73">
        <f>H76</f>
        <v>0</v>
      </c>
      <c r="H76" s="178"/>
      <c r="I76" s="297" t="str">
        <f t="shared" ref="I76" si="12">IF(Q76&gt;0%,Q76,"")</f>
        <v/>
      </c>
      <c r="J76" s="298"/>
      <c r="K76" s="183"/>
      <c r="L76" s="183"/>
      <c r="P76" s="126">
        <f t="shared" si="10"/>
        <v>0</v>
      </c>
      <c r="Q76" s="56">
        <f t="shared" si="11"/>
        <v>0</v>
      </c>
    </row>
    <row r="77" spans="2:17" ht="20.100000000000001" customHeight="1" thickTop="1" thickBot="1" x14ac:dyDescent="0.25">
      <c r="B77" s="110" t="s">
        <v>150</v>
      </c>
      <c r="C77" s="106"/>
      <c r="D77" s="106"/>
      <c r="E77" s="106"/>
      <c r="F77" s="106"/>
      <c r="G77" s="73">
        <f>SUM(C82:F82)*(Inputs!I28/'Guidelines and Rules'!C3)</f>
        <v>1431.4903846153848</v>
      </c>
      <c r="I77" s="194"/>
      <c r="J77" s="195"/>
      <c r="K77" s="183"/>
      <c r="L77" s="183"/>
      <c r="P77" s="126"/>
      <c r="Q77" s="56"/>
    </row>
    <row r="78" spans="2:17" ht="20.100000000000001" customHeight="1" thickTop="1" thickBot="1" x14ac:dyDescent="0.25">
      <c r="B78" s="111" t="s">
        <v>155</v>
      </c>
      <c r="C78" s="106"/>
      <c r="D78" s="106"/>
      <c r="E78" s="106"/>
      <c r="F78" s="106"/>
      <c r="G78" s="74">
        <f>IF(H78="",(G66*0.6%),H78)</f>
        <v>199.99799999999999</v>
      </c>
      <c r="H78" s="178"/>
      <c r="I78" s="200"/>
      <c r="J78" s="201"/>
      <c r="K78" s="183"/>
      <c r="L78" s="183"/>
      <c r="P78" s="126"/>
      <c r="Q78" s="56"/>
    </row>
    <row r="79" spans="2:17" ht="20.100000000000001" customHeight="1" thickTop="1" thickBot="1" x14ac:dyDescent="0.25">
      <c r="B79" s="198" t="s">
        <v>78</v>
      </c>
      <c r="C79" s="106"/>
      <c r="D79" s="106"/>
      <c r="E79" s="106"/>
      <c r="F79" s="106"/>
      <c r="G79" s="73">
        <f>IF(H79="",G67*25%,H79)</f>
        <v>0</v>
      </c>
      <c r="H79" s="178"/>
      <c r="I79" s="194"/>
      <c r="J79" s="195"/>
      <c r="K79" s="183"/>
      <c r="L79" s="183"/>
      <c r="P79" s="126"/>
      <c r="Q79" s="56"/>
    </row>
    <row r="80" spans="2:17" ht="20.100000000000001" customHeight="1" thickTop="1" thickBot="1" x14ac:dyDescent="0.25">
      <c r="B80" s="199" t="s">
        <v>88</v>
      </c>
      <c r="C80" s="106"/>
      <c r="D80" s="106"/>
      <c r="E80" s="106"/>
      <c r="F80" s="106"/>
      <c r="G80" s="73">
        <f>IFERROR(IF(H80="",VLOOKUP(G59,'Guidelines and Rules'!E26:F30,2,0)*SUM(G66:G67),H80),0)</f>
        <v>333.33</v>
      </c>
      <c r="H80" s="178"/>
      <c r="I80" s="194"/>
      <c r="J80" s="195"/>
      <c r="K80" s="183"/>
      <c r="L80" s="183"/>
      <c r="P80" s="126"/>
      <c r="Q80" s="56"/>
    </row>
    <row r="81" spans="2:17" ht="20.100000000000001" customHeight="1" thickTop="1" thickBot="1" x14ac:dyDescent="0.25">
      <c r="B81" s="114" t="s">
        <v>29</v>
      </c>
      <c r="C81" s="107"/>
      <c r="D81" s="107"/>
      <c r="E81" s="107"/>
      <c r="F81" s="107"/>
      <c r="G81" s="73">
        <f>IFERROR(IF(H81="",VLOOKUP(G59,'Guidelines and Rules'!E3:F8,2,0)*SUM(G66:G67),H81),0)</f>
        <v>4733.2859999999991</v>
      </c>
      <c r="H81" s="178"/>
      <c r="I81" s="297">
        <f t="shared" si="9"/>
        <v>0.30453900438165099</v>
      </c>
      <c r="J81" s="298"/>
      <c r="P81" s="126">
        <f t="shared" si="10"/>
        <v>4733.2859999999991</v>
      </c>
      <c r="Q81" s="56">
        <f t="shared" si="11"/>
        <v>0.30453900438165099</v>
      </c>
    </row>
    <row r="82" spans="2:17" ht="20.100000000000001" customHeight="1" thickTop="1" x14ac:dyDescent="0.2">
      <c r="B82" s="70" t="s">
        <v>53</v>
      </c>
      <c r="C82" s="97">
        <f>IFERROR(SUM(C68:C75),"")</f>
        <v>6</v>
      </c>
      <c r="D82" s="97">
        <f>IFERROR(SUM(D68:D75),"")</f>
        <v>0</v>
      </c>
      <c r="E82" s="97">
        <f>IFERROR(SUM(E68:E75),"")</f>
        <v>0</v>
      </c>
      <c r="F82" s="97">
        <f>IFERROR(SUM(F68:F75),"")</f>
        <v>0</v>
      </c>
      <c r="G82" s="123">
        <f>SUM(G69:G81)</f>
        <v>15542.462318121336</v>
      </c>
      <c r="P82" s="126">
        <f t="shared" si="10"/>
        <v>15542.462318121336</v>
      </c>
      <c r="Q82" s="48"/>
    </row>
    <row r="85" spans="2:17" ht="15.75" thickBot="1" x14ac:dyDescent="0.25"/>
    <row r="86" spans="2:17" ht="15.75" customHeight="1" thickTop="1" thickBot="1" x14ac:dyDescent="0.25">
      <c r="F86" s="50" t="s">
        <v>93</v>
      </c>
      <c r="G86" s="177" t="s">
        <v>122</v>
      </c>
      <c r="L86" s="31"/>
    </row>
    <row r="87" spans="2:17" ht="15.75" customHeight="1" thickTop="1" thickBot="1" x14ac:dyDescent="0.25">
      <c r="F87" s="50" t="s">
        <v>184</v>
      </c>
      <c r="G87" s="177" t="s">
        <v>177</v>
      </c>
    </row>
    <row r="88" spans="2:17" ht="15.75" customHeight="1" thickTop="1" thickBot="1" x14ac:dyDescent="0.25">
      <c r="B88" s="32"/>
      <c r="C88" s="33"/>
      <c r="E88" s="34"/>
      <c r="G88" s="187" t="s">
        <v>94</v>
      </c>
      <c r="M88" s="34"/>
    </row>
    <row r="89" spans="2:17" ht="15.75" thickTop="1" x14ac:dyDescent="0.2">
      <c r="B89" s="32"/>
      <c r="C89" s="33"/>
      <c r="E89" s="34"/>
      <c r="M89" s="34"/>
    </row>
    <row r="90" spans="2:17" x14ac:dyDescent="0.2">
      <c r="B90" s="299" t="s">
        <v>182</v>
      </c>
      <c r="C90" s="299"/>
      <c r="D90" s="299"/>
      <c r="E90" s="299"/>
      <c r="F90" s="299"/>
      <c r="G90" s="299"/>
    </row>
    <row r="91" spans="2:17" x14ac:dyDescent="0.2">
      <c r="B91" s="285" t="s">
        <v>0</v>
      </c>
      <c r="C91" s="287" t="s">
        <v>1</v>
      </c>
      <c r="D91" s="288"/>
      <c r="E91" s="287" t="s">
        <v>91</v>
      </c>
      <c r="F91" s="288"/>
      <c r="G91" s="289" t="s">
        <v>92</v>
      </c>
    </row>
    <row r="92" spans="2:17" ht="15.75" thickBot="1" x14ac:dyDescent="0.25">
      <c r="B92" s="286"/>
      <c r="C92" s="67" t="s">
        <v>7</v>
      </c>
      <c r="D92" s="68" t="s">
        <v>8</v>
      </c>
      <c r="E92" s="67" t="s">
        <v>7</v>
      </c>
      <c r="F92" s="68" t="s">
        <v>8</v>
      </c>
      <c r="G92" s="289"/>
    </row>
    <row r="93" spans="2:17" ht="15.75" customHeight="1" thickTop="1" thickBot="1" x14ac:dyDescent="0.25">
      <c r="B93" s="108" t="s">
        <v>156</v>
      </c>
      <c r="C93" s="105"/>
      <c r="D93" s="105"/>
      <c r="E93" s="105"/>
      <c r="F93" s="105"/>
      <c r="G93" s="71"/>
      <c r="I93" s="29" t="s">
        <v>105</v>
      </c>
    </row>
    <row r="94" spans="2:17" ht="16.5" thickTop="1" thickBot="1" x14ac:dyDescent="0.25">
      <c r="B94" s="90" t="s">
        <v>135</v>
      </c>
      <c r="C94" s="104"/>
      <c r="D94" s="104"/>
      <c r="E94" s="104"/>
      <c r="F94" s="104"/>
      <c r="G94" s="72">
        <f>(SUM(C94:F94)*SUMPRODUCT(('Personiv Inputs'!$A$3:$A$35=$G$87)*('Personiv Inputs'!$B$3:$B$35=B94)*'Personiv Inputs'!$C$3:$C$35)/'Guidelines and Rules'!$C$3)+(D94+F94)*SUMPRODUCT(('Personiv Inputs'!$E$3:$E$21=$G$87)*('Personiv Inputs'!$F$3:$F$21=B94)*'Personiv Inputs'!$G$3:$G$21)/'Guidelines and Rules'!$C$3</f>
        <v>0</v>
      </c>
      <c r="H94" s="182"/>
      <c r="I94" s="297" t="e">
        <f t="shared" ref="I94:I105" si="13">IF(Q94&gt;0%,Q94,"")</f>
        <v>#DIV/0!</v>
      </c>
      <c r="J94" s="298"/>
      <c r="K94" s="182"/>
      <c r="L94" s="184"/>
      <c r="P94" s="126">
        <f t="shared" ref="P94:P106" si="14">G94</f>
        <v>0</v>
      </c>
      <c r="Q94" s="56" t="e">
        <f t="shared" ref="Q94:Q105" si="15">P94/$P$106</f>
        <v>#DIV/0!</v>
      </c>
    </row>
    <row r="95" spans="2:17" ht="16.5" thickTop="1" thickBot="1" x14ac:dyDescent="0.25">
      <c r="B95" s="91" t="s">
        <v>2</v>
      </c>
      <c r="C95" s="104"/>
      <c r="D95" s="104"/>
      <c r="E95" s="104"/>
      <c r="F95" s="104"/>
      <c r="G95" s="72">
        <f>(SUM(C95:F95)*SUMPRODUCT(('Personiv Inputs'!$A$3:$A$35=$G$87)*('Personiv Inputs'!$B$3:$B$35=B95)*'Personiv Inputs'!$C$3:$C$35)/'Guidelines and Rules'!$C$3)+(D95+F95)*SUMPRODUCT(('Personiv Inputs'!$E$3:$E$21=$G$87)*('Personiv Inputs'!$F$3:$F$21=B95)*'Personiv Inputs'!$G$3:$G$21)/'Guidelines and Rules'!$C$3</f>
        <v>0</v>
      </c>
      <c r="H95" s="182"/>
      <c r="I95" s="297" t="e">
        <f t="shared" si="13"/>
        <v>#DIV/0!</v>
      </c>
      <c r="J95" s="298"/>
      <c r="K95" s="182"/>
      <c r="L95" s="184"/>
      <c r="P95" s="126">
        <f t="shared" si="14"/>
        <v>0</v>
      </c>
      <c r="Q95" s="56" t="e">
        <f t="shared" si="15"/>
        <v>#DIV/0!</v>
      </c>
    </row>
    <row r="96" spans="2:17" ht="16.5" thickTop="1" thickBot="1" x14ac:dyDescent="0.25">
      <c r="B96" s="91" t="s">
        <v>3</v>
      </c>
      <c r="C96" s="104"/>
      <c r="D96" s="104"/>
      <c r="E96" s="104"/>
      <c r="F96" s="104"/>
      <c r="G96" s="72">
        <f>(SUM(C96:F96)*SUMPRODUCT(('Personiv Inputs'!$A$3:$A$35=$G$87)*('Personiv Inputs'!$B$3:$B$35=B96)*'Personiv Inputs'!$C$3:$C$35)/'Guidelines and Rules'!$C$3)+(D96+F96)*SUMPRODUCT(('Personiv Inputs'!$E$3:$E$21=$G$87)*('Personiv Inputs'!$F$3:$F$21=B96)*'Personiv Inputs'!$G$3:$G$21)/'Guidelines and Rules'!$C$3</f>
        <v>0</v>
      </c>
      <c r="H96" s="182"/>
      <c r="I96" s="297" t="e">
        <f t="shared" si="13"/>
        <v>#DIV/0!</v>
      </c>
      <c r="J96" s="298"/>
      <c r="K96" s="182"/>
      <c r="L96" s="184"/>
      <c r="P96" s="126">
        <f t="shared" si="14"/>
        <v>0</v>
      </c>
      <c r="Q96" s="56" t="e">
        <f t="shared" si="15"/>
        <v>#DIV/0!</v>
      </c>
    </row>
    <row r="97" spans="2:17" ht="16.5" thickTop="1" thickBot="1" x14ac:dyDescent="0.25">
      <c r="B97" s="91" t="s">
        <v>69</v>
      </c>
      <c r="C97" s="104"/>
      <c r="D97" s="104"/>
      <c r="E97" s="104"/>
      <c r="F97" s="104"/>
      <c r="G97" s="72">
        <f>(SUM(C97:F97)*SUMPRODUCT(('Personiv Inputs'!$A$3:$A$35=$G$87)*('Personiv Inputs'!$B$3:$B$35=B97)*'Personiv Inputs'!$C$3:$C$35)/'Guidelines and Rules'!$C$3)+(D97+F97)*SUMPRODUCT(('Personiv Inputs'!$E$3:$E$21=$G$87)*('Personiv Inputs'!$F$3:$F$21=B97)*'Personiv Inputs'!$G$3:$G$21)/'Guidelines and Rules'!$C$3</f>
        <v>0</v>
      </c>
      <c r="H97" s="182"/>
      <c r="I97" s="297" t="e">
        <f t="shared" si="13"/>
        <v>#DIV/0!</v>
      </c>
      <c r="J97" s="298"/>
      <c r="K97" s="182"/>
      <c r="L97" s="184"/>
      <c r="P97" s="126">
        <f t="shared" si="14"/>
        <v>0</v>
      </c>
      <c r="Q97" s="56" t="e">
        <f t="shared" si="15"/>
        <v>#DIV/0!</v>
      </c>
    </row>
    <row r="98" spans="2:17" ht="16.5" thickTop="1" thickBot="1" x14ac:dyDescent="0.25">
      <c r="B98" s="91" t="s">
        <v>70</v>
      </c>
      <c r="C98" s="104"/>
      <c r="D98" s="104"/>
      <c r="E98" s="104"/>
      <c r="F98" s="104"/>
      <c r="G98" s="72">
        <f>(SUM(C98:F98)*SUMPRODUCT(('Personiv Inputs'!$A$3:$A$35=$G$87)*('Personiv Inputs'!$B$3:$B$35=B98)*'Personiv Inputs'!$C$3:$C$35)/'Guidelines and Rules'!$C$3)+(D98+F98)*SUMPRODUCT(('Personiv Inputs'!$E$3:$E$21=$G$87)*('Personiv Inputs'!$F$3:$F$21=B98)*'Personiv Inputs'!$G$3:$G$21)/'Guidelines and Rules'!$C$3</f>
        <v>0</v>
      </c>
      <c r="H98" s="182"/>
      <c r="I98" s="297" t="e">
        <f t="shared" si="13"/>
        <v>#DIV/0!</v>
      </c>
      <c r="J98" s="298"/>
      <c r="K98" s="182"/>
      <c r="L98" s="184"/>
      <c r="O98" s="42"/>
      <c r="P98" s="126">
        <f t="shared" si="14"/>
        <v>0</v>
      </c>
      <c r="Q98" s="56" t="e">
        <f t="shared" si="15"/>
        <v>#DIV/0!</v>
      </c>
    </row>
    <row r="99" spans="2:17" ht="16.5" thickTop="1" thickBot="1" x14ac:dyDescent="0.25">
      <c r="B99" s="91" t="s">
        <v>71</v>
      </c>
      <c r="C99" s="104"/>
      <c r="D99" s="104"/>
      <c r="E99" s="104"/>
      <c r="F99" s="104"/>
      <c r="G99" s="72">
        <f>(SUM(C99:F99)*SUMPRODUCT(('Personiv Inputs'!$A$3:$A$35=$G$87)*('Personiv Inputs'!$B$3:$B$35=B99)*'Personiv Inputs'!$C$3:$C$35)/'Guidelines and Rules'!$C$3)+(D99+F99)*SUMPRODUCT(('Personiv Inputs'!$E$3:$E$21=$G$87)*('Personiv Inputs'!$F$3:$F$21=B99)*'Personiv Inputs'!$G$3:$G$21)/'Guidelines and Rules'!$C$3</f>
        <v>0</v>
      </c>
      <c r="H99" s="182"/>
      <c r="I99" s="297" t="e">
        <f t="shared" si="13"/>
        <v>#DIV/0!</v>
      </c>
      <c r="J99" s="298"/>
      <c r="K99" s="182"/>
      <c r="L99" s="184"/>
      <c r="P99" s="126">
        <f t="shared" si="14"/>
        <v>0</v>
      </c>
      <c r="Q99" s="56" t="e">
        <f t="shared" si="15"/>
        <v>#DIV/0!</v>
      </c>
    </row>
    <row r="100" spans="2:17" ht="16.5" thickTop="1" thickBot="1" x14ac:dyDescent="0.25">
      <c r="B100" s="91" t="s">
        <v>72</v>
      </c>
      <c r="C100" s="104"/>
      <c r="D100" s="104"/>
      <c r="E100" s="106"/>
      <c r="F100" s="106"/>
      <c r="G100" s="72">
        <f>(SUM(C100:F100)*SUMPRODUCT(('Personiv Inputs'!$A$3:$A$35=$G$87)*('Personiv Inputs'!$B$3:$B$35=B100)*'Personiv Inputs'!$C$3:$C$35)/'Guidelines and Rules'!$C$3)+(D100+F100)*SUMPRODUCT(('Personiv Inputs'!$E$3:$E$21=$G$87)*('Personiv Inputs'!$F$3:$F$21=B100)*'Personiv Inputs'!$G$3:$G$21)/'Guidelines and Rules'!$C$3</f>
        <v>0</v>
      </c>
      <c r="H100" s="182"/>
      <c r="I100" s="297" t="e">
        <f t="shared" si="13"/>
        <v>#DIV/0!</v>
      </c>
      <c r="J100" s="298"/>
      <c r="K100" s="182"/>
      <c r="L100" s="184"/>
      <c r="P100" s="126">
        <f t="shared" si="14"/>
        <v>0</v>
      </c>
      <c r="Q100" s="56" t="e">
        <f t="shared" si="15"/>
        <v>#DIV/0!</v>
      </c>
    </row>
    <row r="101" spans="2:17" ht="16.5" thickTop="1" thickBot="1" x14ac:dyDescent="0.25">
      <c r="B101" s="91" t="s">
        <v>73</v>
      </c>
      <c r="C101" s="104"/>
      <c r="D101" s="104"/>
      <c r="E101" s="106"/>
      <c r="F101" s="106"/>
      <c r="G101" s="72">
        <f>(SUM(C101:F101)*SUMPRODUCT(('Personiv Inputs'!$A$3:$A$35=$G$87)*('Personiv Inputs'!$B$3:$B$35=B101)*'Personiv Inputs'!$C$3:$C$35)/'Guidelines and Rules'!$C$3)+(D101+F101)*SUMPRODUCT(('Personiv Inputs'!$E$3:$E$21=$G$87)*('Personiv Inputs'!$F$3:$F$21=B101)*'Personiv Inputs'!$G$3:$G$21)/'Guidelines and Rules'!$C$3</f>
        <v>0</v>
      </c>
      <c r="H101" s="182"/>
      <c r="I101" s="297" t="e">
        <f t="shared" si="13"/>
        <v>#DIV/0!</v>
      </c>
      <c r="J101" s="298"/>
      <c r="K101" s="182"/>
      <c r="L101" s="184"/>
      <c r="P101" s="126">
        <f t="shared" si="14"/>
        <v>0</v>
      </c>
      <c r="Q101" s="56" t="e">
        <f t="shared" si="15"/>
        <v>#DIV/0!</v>
      </c>
    </row>
    <row r="102" spans="2:17" ht="16.5" thickTop="1" thickBot="1" x14ac:dyDescent="0.25">
      <c r="B102" s="192" t="s">
        <v>154</v>
      </c>
      <c r="C102" s="104"/>
      <c r="D102" s="104"/>
      <c r="E102" s="106"/>
      <c r="F102" s="106"/>
      <c r="G102" s="72">
        <f>H102/'Guidelines and Rules'!C3</f>
        <v>0</v>
      </c>
      <c r="H102" s="178"/>
      <c r="I102" s="297" t="e">
        <f t="shared" si="13"/>
        <v>#DIV/0!</v>
      </c>
      <c r="J102" s="298"/>
      <c r="K102" s="182"/>
      <c r="L102" s="184"/>
      <c r="O102" s="40"/>
      <c r="P102" s="126">
        <f t="shared" si="14"/>
        <v>0</v>
      </c>
      <c r="Q102" s="56" t="e">
        <f t="shared" si="15"/>
        <v>#DIV/0!</v>
      </c>
    </row>
    <row r="103" spans="2:17" ht="16.5" thickTop="1" thickBot="1" x14ac:dyDescent="0.25">
      <c r="B103" s="111" t="s">
        <v>155</v>
      </c>
      <c r="C103" s="106"/>
      <c r="D103" s="106"/>
      <c r="E103" s="106"/>
      <c r="F103" s="106"/>
      <c r="G103" s="73">
        <f>IFERROR(IF(H103="",VLOOKUP(G86,'Guidelines and Rules'!E33:F37,2,0)*G93,H103),0)</f>
        <v>0</v>
      </c>
      <c r="H103" s="178"/>
      <c r="I103" s="297" t="e">
        <f t="shared" si="13"/>
        <v>#DIV/0!</v>
      </c>
      <c r="J103" s="298"/>
      <c r="L103" s="53"/>
      <c r="M103" s="53"/>
      <c r="O103" s="40"/>
      <c r="P103" s="126">
        <f t="shared" si="14"/>
        <v>0</v>
      </c>
      <c r="Q103" s="56" t="e">
        <f t="shared" si="15"/>
        <v>#DIV/0!</v>
      </c>
    </row>
    <row r="104" spans="2:17" ht="16.5" thickTop="1" thickBot="1" x14ac:dyDescent="0.25">
      <c r="B104" s="113" t="s">
        <v>29</v>
      </c>
      <c r="C104" s="106"/>
      <c r="D104" s="106"/>
      <c r="E104" s="106"/>
      <c r="F104" s="106"/>
      <c r="G104" s="73">
        <f>IF(H104="",VLOOKUP(G86,'Guidelines and Rules'!E3:F8,2,0)*G93,H104)</f>
        <v>0</v>
      </c>
      <c r="H104" s="178"/>
      <c r="I104" s="297" t="e">
        <f t="shared" si="13"/>
        <v>#DIV/0!</v>
      </c>
      <c r="J104" s="298"/>
      <c r="K104" s="46"/>
      <c r="L104" s="53"/>
      <c r="M104" s="53"/>
      <c r="N104" s="53"/>
      <c r="O104" s="53"/>
      <c r="P104" s="126">
        <f t="shared" si="14"/>
        <v>0</v>
      </c>
      <c r="Q104" s="56" t="e">
        <f t="shared" si="15"/>
        <v>#DIV/0!</v>
      </c>
    </row>
    <row r="105" spans="2:17" ht="16.5" thickTop="1" thickBot="1" x14ac:dyDescent="0.25">
      <c r="B105" s="114" t="s">
        <v>88</v>
      </c>
      <c r="C105" s="107"/>
      <c r="D105" s="107"/>
      <c r="E105" s="107"/>
      <c r="F105" s="107"/>
      <c r="G105" s="73">
        <f>IF(H105="",VLOOKUP(G86,'Guidelines and Rules'!E11:F16,2,0)*G93,H105)</f>
        <v>0</v>
      </c>
      <c r="H105" s="178"/>
      <c r="I105" s="297" t="e">
        <f t="shared" si="13"/>
        <v>#DIV/0!</v>
      </c>
      <c r="J105" s="298"/>
      <c r="K105" s="46"/>
      <c r="L105" s="53"/>
      <c r="M105" s="53"/>
      <c r="N105" s="53"/>
      <c r="O105" s="53"/>
      <c r="P105" s="126">
        <f t="shared" si="14"/>
        <v>0</v>
      </c>
      <c r="Q105" s="56" t="e">
        <f t="shared" si="15"/>
        <v>#DIV/0!</v>
      </c>
    </row>
    <row r="106" spans="2:17" ht="15.75" thickTop="1" x14ac:dyDescent="0.2">
      <c r="B106" s="70" t="s">
        <v>53</v>
      </c>
      <c r="C106" s="77">
        <f>IFERROR(SUM(C94:C101),"")</f>
        <v>0</v>
      </c>
      <c r="D106" s="77">
        <f>IFERROR(SUM(D94:D101),"")</f>
        <v>0</v>
      </c>
      <c r="E106" s="77">
        <f>IFERROR(SUM(E94:E100),"")</f>
        <v>0</v>
      </c>
      <c r="F106" s="77">
        <f>IFERROR(SUM(F94:F100),"")</f>
        <v>0</v>
      </c>
      <c r="G106" s="78">
        <f>SUM(G94:G105)</f>
        <v>0</v>
      </c>
      <c r="L106" s="53"/>
      <c r="M106" s="53"/>
      <c r="N106" s="53"/>
      <c r="O106" s="149"/>
      <c r="P106" s="126">
        <f t="shared" si="14"/>
        <v>0</v>
      </c>
      <c r="Q106" s="48"/>
    </row>
    <row r="107" spans="2:17" x14ac:dyDescent="0.2">
      <c r="N107" s="149"/>
      <c r="O107" s="149"/>
    </row>
  </sheetData>
  <sheetProtection algorithmName="SHA-512" hashValue="ELC4wkowIUsmix1Y3jp86wcgLyommeMuodc/nFsAeJV8I7670bQJdbhDfncq133MqQqz4SYmpZGl0lkYh8yBcQ==" saltValue="bpWTSSRtHEhExRxUNi67Ww==" spinCount="100000" sheet="1" objects="1" scenarios="1"/>
  <mergeCells count="73">
    <mergeCell ref="I99:J99"/>
    <mergeCell ref="B90:G90"/>
    <mergeCell ref="B91:B92"/>
    <mergeCell ref="C91:D91"/>
    <mergeCell ref="E91:F91"/>
    <mergeCell ref="I98:J98"/>
    <mergeCell ref="G91:G92"/>
    <mergeCell ref="I94:J94"/>
    <mergeCell ref="I95:J95"/>
    <mergeCell ref="I96:J96"/>
    <mergeCell ref="I97:J97"/>
    <mergeCell ref="I104:J104"/>
    <mergeCell ref="I105:J105"/>
    <mergeCell ref="I100:J100"/>
    <mergeCell ref="I101:J101"/>
    <mergeCell ref="I103:J103"/>
    <mergeCell ref="I102:J102"/>
    <mergeCell ref="I81:J81"/>
    <mergeCell ref="I70:J70"/>
    <mergeCell ref="I71:J71"/>
    <mergeCell ref="I72:J72"/>
    <mergeCell ref="I73:J73"/>
    <mergeCell ref="I74:J74"/>
    <mergeCell ref="I75:J75"/>
    <mergeCell ref="I76:J76"/>
    <mergeCell ref="I32:J32"/>
    <mergeCell ref="I69:J69"/>
    <mergeCell ref="I33:J33"/>
    <mergeCell ref="I34:J34"/>
    <mergeCell ref="I36:J36"/>
    <mergeCell ref="I37:J37"/>
    <mergeCell ref="I38:J38"/>
    <mergeCell ref="I40:J40"/>
    <mergeCell ref="I41:J41"/>
    <mergeCell ref="I39:J39"/>
    <mergeCell ref="I35:J35"/>
    <mergeCell ref="I27:J27"/>
    <mergeCell ref="I28:J28"/>
    <mergeCell ref="I29:J29"/>
    <mergeCell ref="I30:J30"/>
    <mergeCell ref="I31:J31"/>
    <mergeCell ref="B52:B54"/>
    <mergeCell ref="B63:G63"/>
    <mergeCell ref="B64:B65"/>
    <mergeCell ref="C64:D64"/>
    <mergeCell ref="E64:F64"/>
    <mergeCell ref="G64:G65"/>
    <mergeCell ref="M50:M51"/>
    <mergeCell ref="B50:B51"/>
    <mergeCell ref="C50:C51"/>
    <mergeCell ref="D50:D51"/>
    <mergeCell ref="E50:E51"/>
    <mergeCell ref="F50:F51"/>
    <mergeCell ref="G50:G51"/>
    <mergeCell ref="H50:H51"/>
    <mergeCell ref="I50:I51"/>
    <mergeCell ref="J50:J51"/>
    <mergeCell ref="K50:K51"/>
    <mergeCell ref="L50:L51"/>
    <mergeCell ref="M11:N11"/>
    <mergeCell ref="G7:G8"/>
    <mergeCell ref="H7:H8"/>
    <mergeCell ref="B24:B25"/>
    <mergeCell ref="C24:D24"/>
    <mergeCell ref="E24:F24"/>
    <mergeCell ref="G24:G25"/>
    <mergeCell ref="B23:G23"/>
    <mergeCell ref="F7:F8"/>
    <mergeCell ref="B2:B3"/>
    <mergeCell ref="B7:B8"/>
    <mergeCell ref="C7:C8"/>
    <mergeCell ref="D7:D8"/>
    <mergeCell ref="E7:E8"/>
  </mergeCells>
  <conditionalFormatting sqref="C14">
    <cfRule type="expression" dxfId="7" priority="145" stopIfTrue="1">
      <formula>IF(AND($G$26&lt;&gt;"",$C$14&lt;VLOOKUP($G$20,$K$3:$L$6,2,0)),1,0)</formula>
    </cfRule>
    <cfRule type="expression" dxfId="6" priority="146" stopIfTrue="1">
      <formula>IF(AND(G26&lt;&gt;"",$C$14&gt;VLOOKUP($G$20,K3:L6,2,0)),1,0)</formula>
    </cfRule>
  </conditionalFormatting>
  <conditionalFormatting sqref="D14">
    <cfRule type="expression" dxfId="5" priority="134" stopIfTrue="1">
      <formula>IF(AND($H$57&lt;&gt;0,$D$14&gt;=0.2),1,0)</formula>
    </cfRule>
    <cfRule type="expression" dxfId="4" priority="133" stopIfTrue="1">
      <formula>IF(AND($H$57&lt;&gt;0,$D$14&lt;0.2),1,0)</formula>
    </cfRule>
  </conditionalFormatting>
  <conditionalFormatting sqref="E14">
    <cfRule type="expression" dxfId="3" priority="144" stopIfTrue="1">
      <formula>IF(AND(($G$66+$G$67)&lt;&gt;0,$E$14&lt;$L$8),1,0)</formula>
    </cfRule>
    <cfRule type="expression" dxfId="2" priority="143">
      <formula>IF(AND(($G$66+$G$67)&lt;&gt;0,$E$14&gt;=$L$8),1,0)</formula>
    </cfRule>
  </conditionalFormatting>
  <conditionalFormatting sqref="F14">
    <cfRule type="expression" dxfId="1" priority="138" stopIfTrue="1">
      <formula>IF(AND($G$93&lt;&gt;0,$F$14&gt;=0.6),1,0)</formula>
    </cfRule>
    <cfRule type="expression" dxfId="0" priority="137" stopIfTrue="1">
      <formula>IF(AND($G$93&lt;&gt;0,$F$14&lt;0.6),1,0)</formula>
    </cfRule>
  </conditionalFormatting>
  <conditionalFormatting sqref="I27:I34 I40:I41 I36:I38 L3:L8">
    <cfRule type="dataBar" priority="53">
      <dataBar>
        <cfvo type="num" val="0"/>
        <cfvo type="num" val="1"/>
        <color theme="0" tint="-0.249977111117893"/>
      </dataBar>
      <extLst>
        <ext xmlns:x14="http://schemas.microsoft.com/office/spreadsheetml/2009/9/main" uri="{B025F937-C7B1-47D3-B67F-A62EFF666E3E}">
          <x14:id>{7BFBC1DC-0B1E-49F2-B7A7-E61ED6CF8108}</x14:id>
        </ext>
      </extLst>
    </cfRule>
  </conditionalFormatting>
  <conditionalFormatting sqref="I35">
    <cfRule type="dataBar" priority="8">
      <dataBar>
        <cfvo type="num" val="0"/>
        <cfvo type="num" val="1"/>
        <color theme="0" tint="-0.249977111117893"/>
      </dataBar>
      <extLst>
        <ext xmlns:x14="http://schemas.microsoft.com/office/spreadsheetml/2009/9/main" uri="{B025F937-C7B1-47D3-B67F-A62EFF666E3E}">
          <x14:id>{D49C90E4-A734-4830-9AE2-39FA5370AE91}</x14:id>
        </ext>
      </extLst>
    </cfRule>
  </conditionalFormatting>
  <conditionalFormatting sqref="I39">
    <cfRule type="dataBar" priority="27">
      <dataBar>
        <cfvo type="num" val="0"/>
        <cfvo type="num" val="1"/>
        <color theme="0" tint="-0.249977111117893"/>
      </dataBar>
      <extLst>
        <ext xmlns:x14="http://schemas.microsoft.com/office/spreadsheetml/2009/9/main" uri="{B025F937-C7B1-47D3-B67F-A62EFF666E3E}">
          <x14:id>{B3D87F2D-8E76-454C-A55B-F5396D2CDFC2}</x14:id>
        </ext>
      </extLst>
    </cfRule>
  </conditionalFormatting>
  <conditionalFormatting sqref="I69">
    <cfRule type="dataBar" priority="48">
      <dataBar>
        <cfvo type="num" val="0"/>
        <cfvo type="num" val="1"/>
        <color theme="0" tint="-0.249977111117893"/>
      </dataBar>
      <extLst>
        <ext xmlns:x14="http://schemas.microsoft.com/office/spreadsheetml/2009/9/main" uri="{B025F937-C7B1-47D3-B67F-A62EFF666E3E}">
          <x14:id>{F88D4CB3-578B-46C9-8750-84B640E751BC}</x14:id>
        </ext>
      </extLst>
    </cfRule>
  </conditionalFormatting>
  <conditionalFormatting sqref="I70">
    <cfRule type="dataBar" priority="47">
      <dataBar>
        <cfvo type="num" val="0"/>
        <cfvo type="num" val="1"/>
        <color theme="0" tint="-0.249977111117893"/>
      </dataBar>
      <extLst>
        <ext xmlns:x14="http://schemas.microsoft.com/office/spreadsheetml/2009/9/main" uri="{B025F937-C7B1-47D3-B67F-A62EFF666E3E}">
          <x14:id>{1E8C1911-1CEE-448C-9745-FC2DD76D574A}</x14:id>
        </ext>
      </extLst>
    </cfRule>
  </conditionalFormatting>
  <conditionalFormatting sqref="I71">
    <cfRule type="dataBar" priority="46">
      <dataBar>
        <cfvo type="num" val="0"/>
        <cfvo type="num" val="1"/>
        <color theme="0" tint="-0.249977111117893"/>
      </dataBar>
      <extLst>
        <ext xmlns:x14="http://schemas.microsoft.com/office/spreadsheetml/2009/9/main" uri="{B025F937-C7B1-47D3-B67F-A62EFF666E3E}">
          <x14:id>{F621B0A1-38DB-4E1F-AA3F-206835E5AD9A}</x14:id>
        </ext>
      </extLst>
    </cfRule>
  </conditionalFormatting>
  <conditionalFormatting sqref="I72">
    <cfRule type="dataBar" priority="45">
      <dataBar>
        <cfvo type="num" val="0"/>
        <cfvo type="num" val="1"/>
        <color theme="0" tint="-0.249977111117893"/>
      </dataBar>
      <extLst>
        <ext xmlns:x14="http://schemas.microsoft.com/office/spreadsheetml/2009/9/main" uri="{B025F937-C7B1-47D3-B67F-A62EFF666E3E}">
          <x14:id>{D5CA5E70-0AC9-4E37-9C5E-7C8F064C4B70}</x14:id>
        </ext>
      </extLst>
    </cfRule>
  </conditionalFormatting>
  <conditionalFormatting sqref="I73">
    <cfRule type="dataBar" priority="44">
      <dataBar>
        <cfvo type="num" val="0"/>
        <cfvo type="num" val="1"/>
        <color theme="0" tint="-0.249977111117893"/>
      </dataBar>
      <extLst>
        <ext xmlns:x14="http://schemas.microsoft.com/office/spreadsheetml/2009/9/main" uri="{B025F937-C7B1-47D3-B67F-A62EFF666E3E}">
          <x14:id>{907FF6BA-693C-414C-B832-89A60EF7613F}</x14:id>
        </ext>
      </extLst>
    </cfRule>
  </conditionalFormatting>
  <conditionalFormatting sqref="I74">
    <cfRule type="dataBar" priority="43">
      <dataBar>
        <cfvo type="num" val="0"/>
        <cfvo type="num" val="1"/>
        <color theme="0" tint="-0.249977111117893"/>
      </dataBar>
      <extLst>
        <ext xmlns:x14="http://schemas.microsoft.com/office/spreadsheetml/2009/9/main" uri="{B025F937-C7B1-47D3-B67F-A62EFF666E3E}">
          <x14:id>{2B953187-C17C-47F4-8B4A-494E896787F9}</x14:id>
        </ext>
      </extLst>
    </cfRule>
  </conditionalFormatting>
  <conditionalFormatting sqref="I75">
    <cfRule type="dataBar" priority="42">
      <dataBar>
        <cfvo type="num" val="0"/>
        <cfvo type="num" val="1"/>
        <color theme="0" tint="-0.249977111117893"/>
      </dataBar>
      <extLst>
        <ext xmlns:x14="http://schemas.microsoft.com/office/spreadsheetml/2009/9/main" uri="{B025F937-C7B1-47D3-B67F-A62EFF666E3E}">
          <x14:id>{39D350EE-E205-45B1-8F09-B9673CB66A4D}</x14:id>
        </ext>
      </extLst>
    </cfRule>
  </conditionalFormatting>
  <conditionalFormatting sqref="I76:I80">
    <cfRule type="dataBar" priority="12">
      <dataBar>
        <cfvo type="num" val="0"/>
        <cfvo type="num" val="1"/>
        <color theme="0" tint="-0.249977111117893"/>
      </dataBar>
      <extLst>
        <ext xmlns:x14="http://schemas.microsoft.com/office/spreadsheetml/2009/9/main" uri="{B025F937-C7B1-47D3-B67F-A62EFF666E3E}">
          <x14:id>{3B278300-FFC1-4CE7-8939-FF2263F04BA9}</x14:id>
        </ext>
      </extLst>
    </cfRule>
  </conditionalFormatting>
  <conditionalFormatting sqref="I81">
    <cfRule type="dataBar" priority="41">
      <dataBar>
        <cfvo type="num" val="0"/>
        <cfvo type="num" val="1"/>
        <color theme="0" tint="-0.249977111117893"/>
      </dataBar>
      <extLst>
        <ext xmlns:x14="http://schemas.microsoft.com/office/spreadsheetml/2009/9/main" uri="{B025F937-C7B1-47D3-B67F-A62EFF666E3E}">
          <x14:id>{69E0D871-CF63-4101-820A-46F3A4C398AD}</x14:id>
        </ext>
      </extLst>
    </cfRule>
  </conditionalFormatting>
  <conditionalFormatting sqref="I94:I101 I104:I105">
    <cfRule type="dataBar" priority="3">
      <dataBar>
        <cfvo type="num" val="0"/>
        <cfvo type="num" val="1"/>
        <color theme="0" tint="-0.249977111117893"/>
      </dataBar>
      <extLst>
        <ext xmlns:x14="http://schemas.microsoft.com/office/spreadsheetml/2009/9/main" uri="{B025F937-C7B1-47D3-B67F-A62EFF666E3E}">
          <x14:id>{19ED933B-20B0-4AA2-818C-078EA20A5BA3}</x14:id>
        </ext>
      </extLst>
    </cfRule>
  </conditionalFormatting>
  <conditionalFormatting sqref="I102">
    <cfRule type="dataBar" priority="1">
      <dataBar>
        <cfvo type="num" val="0"/>
        <cfvo type="num" val="1"/>
        <color theme="0" tint="-0.249977111117893"/>
      </dataBar>
      <extLst>
        <ext xmlns:x14="http://schemas.microsoft.com/office/spreadsheetml/2009/9/main" uri="{B025F937-C7B1-47D3-B67F-A62EFF666E3E}">
          <x14:id>{754AFE13-046B-403D-B03C-ABD0A62C608C}</x14:id>
        </ext>
      </extLst>
    </cfRule>
  </conditionalFormatting>
  <conditionalFormatting sqref="I103">
    <cfRule type="dataBar" priority="2">
      <dataBar>
        <cfvo type="num" val="0"/>
        <cfvo type="num" val="1"/>
        <color theme="0" tint="-0.249977111117893"/>
      </dataBar>
      <extLst>
        <ext xmlns:x14="http://schemas.microsoft.com/office/spreadsheetml/2009/9/main" uri="{B025F937-C7B1-47D3-B67F-A62EFF666E3E}">
          <x14:id>{C472BACC-EB84-4416-A68F-756D2ACE9956}</x14:id>
        </ext>
      </extLst>
    </cfRule>
  </conditionalFormatting>
  <conditionalFormatting sqref="L9">
    <cfRule type="dataBar" priority="11">
      <dataBar>
        <cfvo type="num" val="0"/>
        <cfvo type="num" val="1"/>
        <color theme="0" tint="-0.249977111117893"/>
      </dataBar>
      <extLst>
        <ext xmlns:x14="http://schemas.microsoft.com/office/spreadsheetml/2009/9/main" uri="{B025F937-C7B1-47D3-B67F-A62EFF666E3E}">
          <x14:id>{039F6F35-7BE3-4DEB-BDE6-4A9D370D4028}</x14:id>
        </ext>
      </extLst>
    </cfRule>
  </conditionalFormatting>
  <pageMargins left="0.7" right="0.7" top="0.75" bottom="0.75" header="0.3" footer="0.3"/>
  <pageSetup orientation="portrait" r:id="rId1"/>
  <ignoredErrors>
    <ignoredError sqref="G14"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7BFBC1DC-0B1E-49F2-B7A7-E61ED6CF8108}">
            <x14:dataBar minLength="0" maxLength="100" gradient="0">
              <x14:cfvo type="num">
                <xm:f>0</xm:f>
              </x14:cfvo>
              <x14:cfvo type="num">
                <xm:f>1</xm:f>
              </x14:cfvo>
              <x14:negativeFillColor rgb="FFFF0000"/>
              <x14:axisColor rgb="FF000000"/>
            </x14:dataBar>
          </x14:cfRule>
          <xm:sqref>I27:I34 I40:I41 I36:I38 L3:L8</xm:sqref>
        </x14:conditionalFormatting>
        <x14:conditionalFormatting xmlns:xm="http://schemas.microsoft.com/office/excel/2006/main">
          <x14:cfRule type="dataBar" id="{D49C90E4-A734-4830-9AE2-39FA5370AE91}">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B3D87F2D-8E76-454C-A55B-F5396D2CDFC2}">
            <x14:dataBar minLength="0" maxLength="100" gradient="0">
              <x14:cfvo type="num">
                <xm:f>0</xm:f>
              </x14:cfvo>
              <x14:cfvo type="num">
                <xm:f>1</xm:f>
              </x14:cfvo>
              <x14:negativeFillColor rgb="FFFF0000"/>
              <x14:axisColor rgb="FF000000"/>
            </x14:dataBar>
          </x14:cfRule>
          <xm:sqref>I39</xm:sqref>
        </x14:conditionalFormatting>
        <x14:conditionalFormatting xmlns:xm="http://schemas.microsoft.com/office/excel/2006/main">
          <x14:cfRule type="dataBar" id="{F88D4CB3-578B-46C9-8750-84B640E751BC}">
            <x14:dataBar minLength="0" maxLength="100" gradient="0">
              <x14:cfvo type="num">
                <xm:f>0</xm:f>
              </x14:cfvo>
              <x14:cfvo type="num">
                <xm:f>1</xm:f>
              </x14:cfvo>
              <x14:negativeFillColor rgb="FFFF0000"/>
              <x14:axisColor rgb="FF000000"/>
            </x14:dataBar>
          </x14:cfRule>
          <xm:sqref>I69</xm:sqref>
        </x14:conditionalFormatting>
        <x14:conditionalFormatting xmlns:xm="http://schemas.microsoft.com/office/excel/2006/main">
          <x14:cfRule type="dataBar" id="{1E8C1911-1CEE-448C-9745-FC2DD76D574A}">
            <x14:dataBar minLength="0" maxLength="100" gradient="0">
              <x14:cfvo type="num">
                <xm:f>0</xm:f>
              </x14:cfvo>
              <x14:cfvo type="num">
                <xm:f>1</xm:f>
              </x14:cfvo>
              <x14:negativeFillColor rgb="FFFF0000"/>
              <x14:axisColor rgb="FF000000"/>
            </x14:dataBar>
          </x14:cfRule>
          <xm:sqref>I70</xm:sqref>
        </x14:conditionalFormatting>
        <x14:conditionalFormatting xmlns:xm="http://schemas.microsoft.com/office/excel/2006/main">
          <x14:cfRule type="dataBar" id="{F621B0A1-38DB-4E1F-AA3F-206835E5AD9A}">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D5CA5E70-0AC9-4E37-9C5E-7C8F064C4B70}">
            <x14:dataBar minLength="0" maxLength="100" gradient="0">
              <x14:cfvo type="num">
                <xm:f>0</xm:f>
              </x14:cfvo>
              <x14:cfvo type="num">
                <xm:f>1</xm:f>
              </x14:cfvo>
              <x14:negativeFillColor rgb="FFFF0000"/>
              <x14:axisColor rgb="FF000000"/>
            </x14:dataBar>
          </x14:cfRule>
          <xm:sqref>I72</xm:sqref>
        </x14:conditionalFormatting>
        <x14:conditionalFormatting xmlns:xm="http://schemas.microsoft.com/office/excel/2006/main">
          <x14:cfRule type="dataBar" id="{907FF6BA-693C-414C-B832-89A60EF7613F}">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2B953187-C17C-47F4-8B4A-494E896787F9}">
            <x14:dataBar minLength="0" maxLength="100" gradient="0">
              <x14:cfvo type="num">
                <xm:f>0</xm:f>
              </x14:cfvo>
              <x14:cfvo type="num">
                <xm:f>1</xm:f>
              </x14:cfvo>
              <x14:negativeFillColor rgb="FFFF0000"/>
              <x14:axisColor rgb="FF000000"/>
            </x14:dataBar>
          </x14:cfRule>
          <xm:sqref>I74</xm:sqref>
        </x14:conditionalFormatting>
        <x14:conditionalFormatting xmlns:xm="http://schemas.microsoft.com/office/excel/2006/main">
          <x14:cfRule type="dataBar" id="{39D350EE-E205-45B1-8F09-B9673CB66A4D}">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3B278300-FFC1-4CE7-8939-FF2263F04BA9}">
            <x14:dataBar minLength="0" maxLength="100" gradient="0">
              <x14:cfvo type="num">
                <xm:f>0</xm:f>
              </x14:cfvo>
              <x14:cfvo type="num">
                <xm:f>1</xm:f>
              </x14:cfvo>
              <x14:negativeFillColor rgb="FFFF0000"/>
              <x14:axisColor rgb="FF000000"/>
            </x14:dataBar>
          </x14:cfRule>
          <xm:sqref>I76:I80</xm:sqref>
        </x14:conditionalFormatting>
        <x14:conditionalFormatting xmlns:xm="http://schemas.microsoft.com/office/excel/2006/main">
          <x14:cfRule type="dataBar" id="{69E0D871-CF63-4101-820A-46F3A4C398AD}">
            <x14:dataBar minLength="0" maxLength="100" gradient="0">
              <x14:cfvo type="num">
                <xm:f>0</xm:f>
              </x14:cfvo>
              <x14:cfvo type="num">
                <xm:f>1</xm:f>
              </x14:cfvo>
              <x14:negativeFillColor rgb="FFFF0000"/>
              <x14:axisColor rgb="FF000000"/>
            </x14:dataBar>
          </x14:cfRule>
          <xm:sqref>I81</xm:sqref>
        </x14:conditionalFormatting>
        <x14:conditionalFormatting xmlns:xm="http://schemas.microsoft.com/office/excel/2006/main">
          <x14:cfRule type="dataBar" id="{19ED933B-20B0-4AA2-818C-078EA20A5BA3}">
            <x14:dataBar minLength="0" maxLength="100" gradient="0">
              <x14:cfvo type="num">
                <xm:f>0</xm:f>
              </x14:cfvo>
              <x14:cfvo type="num">
                <xm:f>1</xm:f>
              </x14:cfvo>
              <x14:negativeFillColor rgb="FFFF0000"/>
              <x14:axisColor rgb="FF000000"/>
            </x14:dataBar>
          </x14:cfRule>
          <xm:sqref>I94:I101 I104:I105</xm:sqref>
        </x14:conditionalFormatting>
        <x14:conditionalFormatting xmlns:xm="http://schemas.microsoft.com/office/excel/2006/main">
          <x14:cfRule type="dataBar" id="{754AFE13-046B-403D-B03C-ABD0A62C608C}">
            <x14:dataBar minLength="0" maxLength="100" gradient="0">
              <x14:cfvo type="num">
                <xm:f>0</xm:f>
              </x14:cfvo>
              <x14:cfvo type="num">
                <xm:f>1</xm:f>
              </x14:cfvo>
              <x14:negativeFillColor rgb="FFFF0000"/>
              <x14:axisColor rgb="FF000000"/>
            </x14:dataBar>
          </x14:cfRule>
          <xm:sqref>I102</xm:sqref>
        </x14:conditionalFormatting>
        <x14:conditionalFormatting xmlns:xm="http://schemas.microsoft.com/office/excel/2006/main">
          <x14:cfRule type="dataBar" id="{C472BACC-EB84-4416-A68F-756D2ACE9956}">
            <x14:dataBar minLength="0" maxLength="100" gradient="0">
              <x14:cfvo type="num">
                <xm:f>0</xm:f>
              </x14:cfvo>
              <x14:cfvo type="num">
                <xm:f>1</xm:f>
              </x14:cfvo>
              <x14:negativeFillColor rgb="FFFF0000"/>
              <x14:axisColor rgb="FF000000"/>
            </x14:dataBar>
          </x14:cfRule>
          <xm:sqref>I103</xm:sqref>
        </x14:conditionalFormatting>
        <x14:conditionalFormatting xmlns:xm="http://schemas.microsoft.com/office/excel/2006/main">
          <x14:cfRule type="dataBar" id="{039F6F35-7BE3-4DEB-BDE6-4A9D370D4028}">
            <x14:dataBar minLength="0" maxLength="100" gradient="0">
              <x14:cfvo type="num">
                <xm:f>0</xm:f>
              </x14:cfvo>
              <x14:cfvo type="num">
                <xm:f>1</xm:f>
              </x14:cfvo>
              <x14:negativeFillColor rgb="FFFF0000"/>
              <x14:axisColor rgb="FF000000"/>
            </x14:dataBar>
          </x14:cfRule>
          <xm:sqref>L9</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0000000}">
          <x14:formula1>
            <xm:f>'Guidelines and Rules'!$E$3:$E$8</xm:f>
          </x14:formula1>
          <xm:sqref>G19 G86</xm:sqref>
        </x14:dataValidation>
        <x14:dataValidation type="list" allowBlank="1" showInputMessage="1" showErrorMessage="1" xr:uid="{00000000-0002-0000-0000-000001000000}">
          <x14:formula1>
            <xm:f>'Guidelines and Rules'!$B$6:$B$7</xm:f>
          </x14:formula1>
          <xm:sqref>E52:E54</xm:sqref>
        </x14:dataValidation>
        <x14:dataValidation type="list" allowBlank="1" showInputMessage="1" showErrorMessage="1" xr:uid="{00000000-0002-0000-0000-000002000000}">
          <x14:formula1>
            <xm:f>'Guidelines and Rules'!$E$11:$E$16</xm:f>
          </x14:formula1>
          <xm:sqref>G45 G59</xm:sqref>
        </x14:dataValidation>
        <x14:dataValidation type="list" allowBlank="1" showInputMessage="1" showErrorMessage="1" xr:uid="{00000000-0002-0000-0000-000003000000}">
          <x14:formula1>
            <xm:f>'Guidelines and Rules'!$I$17:$I$18</xm:f>
          </x14:formula1>
          <xm:sqref>C52:C54</xm:sqref>
        </x14:dataValidation>
        <x14:dataValidation type="list" allowBlank="1" showInputMessage="1" showErrorMessage="1" xr:uid="{00000000-0002-0000-0000-000004000000}">
          <x14:formula1>
            <xm:f>'Guidelines and Rules'!$I$8:$I$13</xm:f>
          </x14:formula1>
          <xm:sqref>D52:D54</xm:sqref>
        </x14:dataValidation>
        <x14:dataValidation type="list" allowBlank="1" showInputMessage="1" showErrorMessage="1" xr:uid="{00000000-0002-0000-0000-000005000000}">
          <x14:formula1>
            <xm:f>'Salary Calculator'!$G$2:$G$5</xm:f>
          </x14:formula1>
          <xm:sqref>G20</xm:sqref>
        </x14:dataValidation>
        <x14:dataValidation type="list" allowBlank="1" showInputMessage="1" showErrorMessage="1" xr:uid="{00000000-0002-0000-0000-000006000000}">
          <x14:formula1>
            <xm:f>Inputs!$A$7:$A$9</xm:f>
          </x14:formula1>
          <xm:sqref>G87</xm:sqref>
        </x14:dataValidation>
        <x14:dataValidation type="list" operator="lessThanOrEqual" allowBlank="1" showInputMessage="1" showErrorMessage="1" xr:uid="{00000000-0002-0000-0000-000007000000}">
          <x14:formula1>
            <xm:f>'Guidelines and Rules'!$R$2:$R$25</xm:f>
          </x14:formula1>
          <xm:sqref>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01"/>
  <sheetViews>
    <sheetView showGridLines="0" workbookViewId="0"/>
  </sheetViews>
  <sheetFormatPr defaultRowHeight="15" x14ac:dyDescent="0.2"/>
  <cols>
    <col min="1" max="1" width="18.29296875" bestFit="1" customWidth="1"/>
    <col min="2" max="2" width="17.890625" bestFit="1" customWidth="1"/>
    <col min="3" max="3" width="17.484375" bestFit="1" customWidth="1"/>
    <col min="4" max="4" width="13.31640625" bestFit="1" customWidth="1"/>
    <col min="5" max="5" width="13.85546875" bestFit="1" customWidth="1"/>
    <col min="6" max="6" width="19.63671875" bestFit="1" customWidth="1"/>
    <col min="7" max="7" width="11.8359375" bestFit="1" customWidth="1"/>
    <col min="8" max="10" width="12.5078125" bestFit="1" customWidth="1"/>
    <col min="11" max="12" width="11.56640625" bestFit="1" customWidth="1"/>
  </cols>
  <sheetData>
    <row r="1" spans="1:10" x14ac:dyDescent="0.2">
      <c r="A1" s="2" t="s">
        <v>152</v>
      </c>
    </row>
    <row r="2" spans="1:10" x14ac:dyDescent="0.2">
      <c r="A2" s="29" t="s">
        <v>146</v>
      </c>
      <c r="B2" s="35" t="s">
        <v>80</v>
      </c>
      <c r="C2" s="35" t="s">
        <v>54</v>
      </c>
      <c r="D2" s="35" t="s">
        <v>55</v>
      </c>
      <c r="E2" s="35" t="s">
        <v>82</v>
      </c>
      <c r="F2" s="35" t="s">
        <v>81</v>
      </c>
      <c r="G2" s="35" t="s">
        <v>33</v>
      </c>
    </row>
    <row r="3" spans="1:10" x14ac:dyDescent="0.2">
      <c r="A3" s="29" t="s">
        <v>147</v>
      </c>
      <c r="B3" s="29"/>
      <c r="C3" s="29"/>
      <c r="D3" s="29"/>
      <c r="E3" s="29"/>
      <c r="F3" s="36" t="s">
        <v>67</v>
      </c>
      <c r="G3" s="37">
        <v>27080.851415094341</v>
      </c>
      <c r="H3" s="189">
        <v>24455.319983766236</v>
      </c>
      <c r="I3" s="143">
        <f>H3/G3-1</f>
        <v>-9.6951583651638251E-2</v>
      </c>
      <c r="J3" s="181"/>
    </row>
    <row r="4" spans="1:10" x14ac:dyDescent="0.2">
      <c r="A4" s="29" t="s">
        <v>148</v>
      </c>
      <c r="B4" s="36" t="s">
        <v>135</v>
      </c>
      <c r="C4" s="37">
        <v>19085.718734567941</v>
      </c>
      <c r="D4" s="37">
        <v>19085.718734567941</v>
      </c>
      <c r="E4" s="37">
        <v>2000</v>
      </c>
      <c r="F4" s="36" t="s">
        <v>68</v>
      </c>
      <c r="G4" s="37">
        <v>60104.600866336637</v>
      </c>
      <c r="H4" s="189">
        <v>57290.863667229729</v>
      </c>
      <c r="I4" s="143">
        <f t="shared" ref="I4:I9" si="0">H4/G4-1</f>
        <v>-4.68140068904912E-2</v>
      </c>
      <c r="J4" s="181"/>
    </row>
    <row r="5" spans="1:10" x14ac:dyDescent="0.2">
      <c r="A5" s="29" t="s">
        <v>192</v>
      </c>
      <c r="B5" s="36" t="s">
        <v>67</v>
      </c>
      <c r="C5" s="37">
        <v>20534.895470383315</v>
      </c>
      <c r="D5" s="37">
        <v>23063.464285714239</v>
      </c>
      <c r="E5" s="37">
        <v>3600</v>
      </c>
      <c r="F5" s="36" t="s">
        <v>69</v>
      </c>
      <c r="G5" s="37">
        <v>120214.78281407036</v>
      </c>
      <c r="H5" s="189">
        <v>132545.53672941175</v>
      </c>
      <c r="I5" s="143">
        <f t="shared" si="0"/>
        <v>0.10257269219886789</v>
      </c>
      <c r="J5" s="181"/>
    </row>
    <row r="6" spans="1:10" x14ac:dyDescent="0.2">
      <c r="A6" s="29" t="s">
        <v>176</v>
      </c>
      <c r="B6" s="36" t="s">
        <v>68</v>
      </c>
      <c r="C6" s="37">
        <v>39495.333866544788</v>
      </c>
      <c r="D6" s="37">
        <v>45464.0152671756</v>
      </c>
      <c r="E6" s="37">
        <v>3600</v>
      </c>
      <c r="F6" s="36" t="s">
        <v>70</v>
      </c>
      <c r="G6" s="37">
        <v>160193.44717557251</v>
      </c>
      <c r="H6" s="189">
        <v>183740.78924094676</v>
      </c>
      <c r="I6" s="143">
        <f t="shared" si="0"/>
        <v>0.14699316657794559</v>
      </c>
      <c r="J6" s="181"/>
    </row>
    <row r="7" spans="1:10" x14ac:dyDescent="0.2">
      <c r="A7" s="29" t="s">
        <v>177</v>
      </c>
      <c r="B7" s="36" t="s">
        <v>69</v>
      </c>
      <c r="C7" s="37">
        <v>71104.897404568896</v>
      </c>
      <c r="D7" s="37">
        <v>93631.400930232558</v>
      </c>
      <c r="E7" s="37">
        <v>3600</v>
      </c>
      <c r="F7" s="36" t="s">
        <v>71</v>
      </c>
      <c r="G7" s="37">
        <v>211461.6906818182</v>
      </c>
      <c r="H7" s="189">
        <v>232000.74365999998</v>
      </c>
      <c r="I7" s="143">
        <f t="shared" si="0"/>
        <v>9.7128954714953197E-2</v>
      </c>
      <c r="J7" s="181"/>
    </row>
    <row r="8" spans="1:10" x14ac:dyDescent="0.2">
      <c r="A8" s="29" t="s">
        <v>178</v>
      </c>
      <c r="B8" s="36" t="s">
        <v>70</v>
      </c>
      <c r="C8" s="37">
        <v>114803.89109200603</v>
      </c>
      <c r="D8" s="37">
        <v>161882.78823529411</v>
      </c>
      <c r="E8" s="37">
        <v>5250</v>
      </c>
      <c r="F8" s="36" t="s">
        <v>36</v>
      </c>
      <c r="G8" s="37">
        <v>353699.31545454549</v>
      </c>
      <c r="H8" s="189">
        <v>352722.28036046831</v>
      </c>
      <c r="I8" s="143">
        <f t="shared" si="0"/>
        <v>-2.7623324428026619E-3</v>
      </c>
      <c r="J8" s="181"/>
    </row>
    <row r="9" spans="1:10" x14ac:dyDescent="0.2">
      <c r="A9" s="29" t="s">
        <v>179</v>
      </c>
      <c r="B9" s="36" t="s">
        <v>71</v>
      </c>
      <c r="C9" s="37">
        <v>151221.80499999999</v>
      </c>
      <c r="D9" s="37">
        <v>220414.74000000002</v>
      </c>
      <c r="E9" s="37">
        <v>7000</v>
      </c>
      <c r="F9" s="38" t="s">
        <v>83</v>
      </c>
      <c r="G9" s="37">
        <v>700950.58199483878</v>
      </c>
      <c r="H9" s="189">
        <v>700950.58199483878</v>
      </c>
      <c r="I9" s="143">
        <f t="shared" si="0"/>
        <v>0</v>
      </c>
      <c r="J9" s="179"/>
    </row>
    <row r="10" spans="1:10" x14ac:dyDescent="0.2">
      <c r="A10" s="29"/>
      <c r="B10" s="36" t="s">
        <v>72</v>
      </c>
      <c r="C10" s="37">
        <v>210112.83999999971</v>
      </c>
      <c r="D10" s="37">
        <v>331114.77</v>
      </c>
      <c r="E10" s="37"/>
      <c r="F10" s="37"/>
      <c r="G10" s="39"/>
      <c r="H10" s="180"/>
      <c r="I10" s="180"/>
    </row>
    <row r="11" spans="1:10" x14ac:dyDescent="0.2">
      <c r="A11" s="29"/>
      <c r="B11" s="36" t="s">
        <v>73</v>
      </c>
      <c r="C11" s="37">
        <v>340597.9499999996</v>
      </c>
      <c r="D11" s="37">
        <v>432174.01500000001</v>
      </c>
      <c r="E11" s="37"/>
      <c r="F11" s="37"/>
      <c r="G11" s="41"/>
      <c r="H11" s="180"/>
      <c r="I11" s="180"/>
    </row>
    <row r="12" spans="1:10" x14ac:dyDescent="0.2">
      <c r="A12" s="29"/>
      <c r="B12" s="36" t="s">
        <v>74</v>
      </c>
      <c r="C12" s="37"/>
      <c r="D12" s="37">
        <f>D10</f>
        <v>331114.77</v>
      </c>
      <c r="E12" s="38"/>
      <c r="F12" s="38"/>
      <c r="G12" s="41"/>
      <c r="H12" s="180"/>
      <c r="I12" s="180"/>
    </row>
    <row r="13" spans="1:10" x14ac:dyDescent="0.2">
      <c r="A13" s="29"/>
      <c r="B13" s="36" t="s">
        <v>75</v>
      </c>
      <c r="C13" s="37">
        <v>110000</v>
      </c>
      <c r="D13" s="37"/>
      <c r="E13" s="37"/>
      <c r="F13" s="37"/>
      <c r="G13" s="41"/>
      <c r="H13" s="181"/>
    </row>
    <row r="14" spans="1:10" x14ac:dyDescent="0.2">
      <c r="A14" s="29"/>
      <c r="B14" s="36" t="s">
        <v>76</v>
      </c>
      <c r="C14" s="37">
        <v>10000</v>
      </c>
      <c r="D14" s="44"/>
      <c r="E14" s="44"/>
      <c r="F14" s="44"/>
      <c r="G14" s="45"/>
      <c r="H14" s="180"/>
    </row>
    <row r="15" spans="1:10" x14ac:dyDescent="0.2">
      <c r="A15" s="29"/>
      <c r="B15" s="36" t="s">
        <v>77</v>
      </c>
      <c r="C15" s="37">
        <v>30000</v>
      </c>
      <c r="D15" s="37"/>
      <c r="E15" s="37"/>
      <c r="F15" s="37"/>
      <c r="G15" s="29"/>
      <c r="H15" s="180"/>
    </row>
    <row r="16" spans="1:10" x14ac:dyDescent="0.2">
      <c r="A16" s="29"/>
      <c r="B16" s="36" t="s">
        <v>106</v>
      </c>
      <c r="C16" s="38">
        <v>1000</v>
      </c>
      <c r="D16" s="37"/>
      <c r="E16" s="37"/>
      <c r="F16" s="37"/>
      <c r="G16" s="29"/>
      <c r="H16" s="180"/>
    </row>
    <row r="17" spans="1:14" x14ac:dyDescent="0.2">
      <c r="G17" t="s">
        <v>177</v>
      </c>
    </row>
    <row r="18" spans="1:14" x14ac:dyDescent="0.2">
      <c r="G18" t="s">
        <v>178</v>
      </c>
    </row>
    <row r="19" spans="1:14" x14ac:dyDescent="0.2">
      <c r="A19" s="225" t="s">
        <v>180</v>
      </c>
      <c r="B19" s="226"/>
      <c r="C19" s="227" t="s">
        <v>159</v>
      </c>
      <c r="D19" s="228" t="s">
        <v>23</v>
      </c>
      <c r="G19" t="s">
        <v>179</v>
      </c>
      <c r="I19" t="s">
        <v>198</v>
      </c>
    </row>
    <row r="20" spans="1:14" x14ac:dyDescent="0.2">
      <c r="A20" s="229" t="s">
        <v>146</v>
      </c>
      <c r="B20" s="7" t="s">
        <v>135</v>
      </c>
      <c r="C20" s="230">
        <v>22000</v>
      </c>
      <c r="D20" s="231">
        <f>C20/'Guidelines and Rules'!$C$3</f>
        <v>264.42307692307691</v>
      </c>
      <c r="E20" s="242"/>
      <c r="F20" s="237" t="s">
        <v>82</v>
      </c>
      <c r="G20" s="237"/>
      <c r="H20" s="237" t="s">
        <v>81</v>
      </c>
      <c r="I20" s="237" t="s">
        <v>33</v>
      </c>
      <c r="J20" s="228" t="s">
        <v>23</v>
      </c>
      <c r="K20" s="180"/>
      <c r="L20" s="180"/>
      <c r="M20" s="143"/>
      <c r="N20" s="143"/>
    </row>
    <row r="21" spans="1:14" x14ac:dyDescent="0.2">
      <c r="A21" s="229" t="s">
        <v>146</v>
      </c>
      <c r="B21" s="7" t="s">
        <v>2</v>
      </c>
      <c r="C21" s="230">
        <v>25555.642857142859</v>
      </c>
      <c r="D21" s="231">
        <f>C21/'Guidelines and Rules'!$C$3</f>
        <v>307.15916895604397</v>
      </c>
      <c r="E21" s="229" t="s">
        <v>135</v>
      </c>
      <c r="F21" s="230">
        <v>4000</v>
      </c>
      <c r="G21" s="7"/>
      <c r="H21" s="7" t="s">
        <v>67</v>
      </c>
      <c r="I21" s="189">
        <v>24016.640625</v>
      </c>
      <c r="J21" s="243">
        <f>I21/'Guidelines and Rules'!$C$3</f>
        <v>288.66154597355768</v>
      </c>
      <c r="K21" s="180"/>
      <c r="L21" s="180"/>
      <c r="M21" s="143"/>
      <c r="N21" s="143"/>
    </row>
    <row r="22" spans="1:14" x14ac:dyDescent="0.2">
      <c r="A22" s="229" t="s">
        <v>146</v>
      </c>
      <c r="B22" s="7" t="s">
        <v>3</v>
      </c>
      <c r="C22" s="230">
        <v>46670.393835616444</v>
      </c>
      <c r="D22" s="231">
        <f>C22/'Guidelines and Rules'!$C$3</f>
        <v>560.94223360115916</v>
      </c>
      <c r="E22" s="229" t="s">
        <v>2</v>
      </c>
      <c r="F22" s="230">
        <v>4000</v>
      </c>
      <c r="G22" s="7"/>
      <c r="H22" s="7" t="s">
        <v>68</v>
      </c>
      <c r="I22" s="189">
        <v>61243.370327102806</v>
      </c>
      <c r="J22" s="243">
        <f>I22/'Guidelines and Rules'!$C$3</f>
        <v>736.09820104690868</v>
      </c>
      <c r="K22" s="180"/>
      <c r="L22" s="180"/>
      <c r="M22" s="143"/>
      <c r="N22" s="143"/>
    </row>
    <row r="23" spans="1:14" x14ac:dyDescent="0.2">
      <c r="A23" s="229" t="s">
        <v>146</v>
      </c>
      <c r="B23" s="7" t="s">
        <v>69</v>
      </c>
      <c r="C23" s="230">
        <v>84545.257263157895</v>
      </c>
      <c r="D23" s="231">
        <f>C23/'Guidelines and Rules'!$C$3</f>
        <v>1016.1689574898785</v>
      </c>
      <c r="E23" s="229" t="s">
        <v>3</v>
      </c>
      <c r="F23" s="230">
        <v>4000</v>
      </c>
      <c r="G23" s="7"/>
      <c r="H23" s="7" t="s">
        <v>69</v>
      </c>
      <c r="I23" s="189">
        <v>131950.46454545454</v>
      </c>
      <c r="J23" s="243">
        <f>I23/'Guidelines and Rules'!$C$3</f>
        <v>1585.9430834790207</v>
      </c>
      <c r="K23" s="180"/>
      <c r="L23" s="180"/>
      <c r="M23" s="143"/>
      <c r="N23" s="143"/>
    </row>
    <row r="24" spans="1:14" x14ac:dyDescent="0.2">
      <c r="A24" s="229" t="s">
        <v>146</v>
      </c>
      <c r="B24" s="7" t="s">
        <v>70</v>
      </c>
      <c r="C24" s="230">
        <v>128910.90483870967</v>
      </c>
      <c r="D24" s="231">
        <f>C24/'Guidelines and Rules'!$C$3</f>
        <v>1549.4099139267989</v>
      </c>
      <c r="E24" s="229" t="s">
        <v>69</v>
      </c>
      <c r="F24" s="230">
        <v>4000</v>
      </c>
      <c r="G24" s="7"/>
      <c r="H24" s="7" t="s">
        <v>70</v>
      </c>
      <c r="I24" s="189">
        <v>174731.4551612903</v>
      </c>
      <c r="J24" s="243">
        <f>I24/'Guidelines and Rules'!$C$3</f>
        <v>2100.1376822270468</v>
      </c>
      <c r="K24" s="180"/>
      <c r="L24" s="180"/>
      <c r="M24" s="143"/>
      <c r="N24" s="143"/>
    </row>
    <row r="25" spans="1:14" x14ac:dyDescent="0.2">
      <c r="A25" s="229" t="s">
        <v>146</v>
      </c>
      <c r="B25" s="7" t="s">
        <v>71</v>
      </c>
      <c r="C25" s="230">
        <v>168686.44578947368</v>
      </c>
      <c r="D25" s="231">
        <f>C25/'Guidelines and Rules'!$C$3</f>
        <v>2027.4813195850202</v>
      </c>
      <c r="E25" s="229" t="s">
        <v>70</v>
      </c>
      <c r="F25" s="230">
        <v>5800</v>
      </c>
      <c r="G25" s="7"/>
      <c r="H25" s="7" t="s">
        <v>71</v>
      </c>
      <c r="I25" s="189">
        <v>242697.95549999998</v>
      </c>
      <c r="J25" s="243">
        <f>I25/'Guidelines and Rules'!$C$3</f>
        <v>2917.0427343749998</v>
      </c>
      <c r="K25" s="180"/>
      <c r="L25" s="180"/>
      <c r="M25" s="143"/>
      <c r="N25" s="143"/>
    </row>
    <row r="26" spans="1:14" x14ac:dyDescent="0.2">
      <c r="A26" s="229" t="s">
        <v>146</v>
      </c>
      <c r="B26" s="7" t="s">
        <v>72</v>
      </c>
      <c r="C26" s="230">
        <v>237497.90399999998</v>
      </c>
      <c r="D26" s="231">
        <f>C26/'Guidelines and Rules'!$C$3</f>
        <v>2854.542115384615</v>
      </c>
      <c r="E26" s="229" t="s">
        <v>71</v>
      </c>
      <c r="F26" s="230">
        <v>7700</v>
      </c>
      <c r="G26" s="7"/>
      <c r="H26" s="7" t="s">
        <v>36</v>
      </c>
      <c r="I26" s="189">
        <v>380815.3125</v>
      </c>
      <c r="J26" s="243">
        <f>I26/'Guidelines and Rules'!$C$3</f>
        <v>4577.1071213942305</v>
      </c>
      <c r="K26" s="180"/>
      <c r="L26" s="180"/>
      <c r="M26" s="143"/>
      <c r="N26" s="143"/>
    </row>
    <row r="27" spans="1:14" x14ac:dyDescent="0.2">
      <c r="A27" s="229" t="s">
        <v>146</v>
      </c>
      <c r="B27" s="7" t="s">
        <v>73</v>
      </c>
      <c r="C27" s="230">
        <v>447082.02</v>
      </c>
      <c r="D27" s="231">
        <f>C27/'Guidelines and Rules'!$C$3</f>
        <v>5373.5819711538461</v>
      </c>
      <c r="E27" s="229" t="s">
        <v>72</v>
      </c>
      <c r="F27" s="230">
        <v>9600</v>
      </c>
      <c r="G27" s="7"/>
      <c r="H27" s="7" t="s">
        <v>83</v>
      </c>
      <c r="I27" s="189">
        <v>625000</v>
      </c>
      <c r="J27" s="243">
        <f>I27/'Guidelines and Rules'!$C$3</f>
        <v>7512.0192307692305</v>
      </c>
      <c r="K27" s="180"/>
      <c r="L27" s="180"/>
      <c r="M27" s="143"/>
      <c r="N27" s="143"/>
    </row>
    <row r="28" spans="1:14" x14ac:dyDescent="0.2">
      <c r="A28" s="229" t="s">
        <v>146</v>
      </c>
      <c r="B28" s="7" t="s">
        <v>153</v>
      </c>
      <c r="C28" s="230"/>
      <c r="D28" s="231">
        <f>C28/'Guidelines and Rules'!$C$3</f>
        <v>0</v>
      </c>
      <c r="E28" s="233" t="s">
        <v>73</v>
      </c>
      <c r="F28" s="235">
        <v>0</v>
      </c>
      <c r="G28" s="234"/>
      <c r="H28" s="234" t="s">
        <v>76</v>
      </c>
      <c r="I28" s="244">
        <v>19850</v>
      </c>
      <c r="J28" s="245">
        <f>I28/'Guidelines and Rules'!$C$3</f>
        <v>238.58173076923077</v>
      </c>
    </row>
    <row r="29" spans="1:14" x14ac:dyDescent="0.2">
      <c r="A29" s="229" t="s">
        <v>146</v>
      </c>
      <c r="B29" s="7" t="s">
        <v>76</v>
      </c>
      <c r="C29" s="230">
        <v>11850</v>
      </c>
      <c r="D29" s="231">
        <f>C29/'Guidelines and Rules'!$C$3</f>
        <v>142.42788461538461</v>
      </c>
    </row>
    <row r="30" spans="1:14" x14ac:dyDescent="0.2">
      <c r="A30" s="229" t="s">
        <v>146</v>
      </c>
      <c r="B30" s="7" t="s">
        <v>151</v>
      </c>
      <c r="C30" s="230">
        <v>3500</v>
      </c>
      <c r="D30" s="231">
        <f>C30/'Guidelines and Rules'!$C$3</f>
        <v>42.067307692307693</v>
      </c>
    </row>
    <row r="31" spans="1:14" x14ac:dyDescent="0.2">
      <c r="A31" s="229" t="s">
        <v>147</v>
      </c>
      <c r="B31" s="7" t="s">
        <v>135</v>
      </c>
      <c r="C31" s="230">
        <v>22000</v>
      </c>
      <c r="D31" s="231">
        <f>C31/'Guidelines and Rules'!$C$3</f>
        <v>264.42307692307691</v>
      </c>
      <c r="K31" s="180"/>
      <c r="L31" s="180"/>
      <c r="M31" s="143"/>
      <c r="N31" s="143"/>
    </row>
    <row r="32" spans="1:14" x14ac:dyDescent="0.2">
      <c r="A32" s="229" t="s">
        <v>147</v>
      </c>
      <c r="B32" s="7" t="s">
        <v>2</v>
      </c>
      <c r="C32" s="230">
        <v>27833.625</v>
      </c>
      <c r="D32" s="231">
        <f>C32/'Guidelines and Rules'!$C$3</f>
        <v>334.53876201923077</v>
      </c>
      <c r="K32" s="180"/>
      <c r="L32" s="180"/>
      <c r="M32" s="143"/>
      <c r="N32" s="143"/>
    </row>
    <row r="33" spans="1:14" x14ac:dyDescent="0.2">
      <c r="A33" s="229" t="s">
        <v>147</v>
      </c>
      <c r="B33" s="7" t="s">
        <v>3</v>
      </c>
      <c r="C33" s="230">
        <v>53583.713315217385</v>
      </c>
      <c r="D33" s="231">
        <f>C33/'Guidelines and Rules'!$C$3</f>
        <v>644.03501580790123</v>
      </c>
      <c r="K33" s="180"/>
      <c r="L33" s="180"/>
      <c r="M33" s="143"/>
      <c r="N33" s="143"/>
    </row>
    <row r="34" spans="1:14" x14ac:dyDescent="0.2">
      <c r="A34" s="229" t="s">
        <v>147</v>
      </c>
      <c r="B34" s="7" t="s">
        <v>69</v>
      </c>
      <c r="C34" s="230">
        <v>91923.505333333334</v>
      </c>
      <c r="D34" s="231">
        <f>C34/'Guidelines and Rules'!$C$3</f>
        <v>1104.8498237179488</v>
      </c>
      <c r="K34" s="180"/>
      <c r="L34" s="180"/>
      <c r="M34" s="143"/>
      <c r="N34" s="143"/>
    </row>
    <row r="35" spans="1:14" x14ac:dyDescent="0.2">
      <c r="A35" s="229" t="s">
        <v>147</v>
      </c>
      <c r="B35" s="7" t="s">
        <v>70</v>
      </c>
      <c r="C35" s="230">
        <v>170745.47327102805</v>
      </c>
      <c r="D35" s="231">
        <f>C35/'Guidelines and Rules'!$C$3</f>
        <v>2052.2292460460103</v>
      </c>
      <c r="K35" s="180"/>
      <c r="L35" s="180"/>
      <c r="M35" s="143"/>
      <c r="N35" s="143"/>
    </row>
    <row r="36" spans="1:14" x14ac:dyDescent="0.2">
      <c r="A36" s="229" t="s">
        <v>147</v>
      </c>
      <c r="B36" s="7" t="s">
        <v>71</v>
      </c>
      <c r="C36" s="230">
        <v>227090.62975609757</v>
      </c>
      <c r="D36" s="231">
        <f>C36/'Guidelines and Rules'!$C$3</f>
        <v>2729.4546845684804</v>
      </c>
      <c r="K36" s="180"/>
      <c r="L36" s="180"/>
      <c r="M36" s="143"/>
      <c r="N36" s="143"/>
    </row>
    <row r="37" spans="1:14" x14ac:dyDescent="0.2">
      <c r="A37" s="229" t="s">
        <v>147</v>
      </c>
      <c r="B37" s="7" t="s">
        <v>72</v>
      </c>
      <c r="C37" s="230">
        <v>347778.01799999998</v>
      </c>
      <c r="D37" s="231">
        <f>C37/'Guidelines and Rules'!$C$3</f>
        <v>4180.0242548076922</v>
      </c>
      <c r="K37" s="180"/>
      <c r="L37" s="180"/>
      <c r="M37" s="143"/>
      <c r="N37" s="143"/>
    </row>
    <row r="38" spans="1:14" x14ac:dyDescent="0.2">
      <c r="A38" s="229" t="s">
        <v>147</v>
      </c>
      <c r="B38" s="7" t="s">
        <v>73</v>
      </c>
      <c r="C38" s="230">
        <v>497857.0153846154</v>
      </c>
      <c r="D38" s="231">
        <f>C38/'Guidelines and Rules'!$C$3</f>
        <v>5983.8583579881661</v>
      </c>
      <c r="K38" s="180"/>
      <c r="L38" s="180"/>
      <c r="M38" s="143"/>
      <c r="N38" s="143"/>
    </row>
    <row r="39" spans="1:14" x14ac:dyDescent="0.2">
      <c r="A39" s="229" t="s">
        <v>147</v>
      </c>
      <c r="B39" s="7" t="s">
        <v>153</v>
      </c>
      <c r="C39" s="230">
        <v>347778.01799999998</v>
      </c>
      <c r="D39" s="231">
        <f>C39/'Guidelines and Rules'!$C$3</f>
        <v>4180.0242548076922</v>
      </c>
      <c r="K39" s="180"/>
      <c r="L39" s="180"/>
      <c r="M39" s="180"/>
    </row>
    <row r="40" spans="1:14" x14ac:dyDescent="0.2">
      <c r="A40" s="229" t="s">
        <v>147</v>
      </c>
      <c r="B40" s="7" t="s">
        <v>76</v>
      </c>
      <c r="C40" s="230">
        <v>29300</v>
      </c>
      <c r="D40" s="231">
        <f>C40/'Guidelines and Rules'!$C$3</f>
        <v>352.16346153846155</v>
      </c>
      <c r="K40" s="180"/>
      <c r="L40" s="180"/>
      <c r="M40" s="180"/>
    </row>
    <row r="41" spans="1:14" x14ac:dyDescent="0.2">
      <c r="A41" s="229" t="s">
        <v>147</v>
      </c>
      <c r="B41" s="7" t="s">
        <v>151</v>
      </c>
      <c r="C41" s="230">
        <v>3450</v>
      </c>
      <c r="D41" s="231">
        <f>C41/'Guidelines and Rules'!$C$3</f>
        <v>41.466346153846153</v>
      </c>
      <c r="K41" s="180"/>
      <c r="L41" s="180"/>
      <c r="M41" s="180"/>
    </row>
    <row r="42" spans="1:14" x14ac:dyDescent="0.2">
      <c r="A42" s="229" t="s">
        <v>148</v>
      </c>
      <c r="B42" s="7" t="s">
        <v>135</v>
      </c>
      <c r="C42" s="230">
        <v>20800</v>
      </c>
      <c r="D42" s="231">
        <f>C42/'Guidelines and Rules'!$C$3</f>
        <v>250</v>
      </c>
      <c r="K42" s="180"/>
      <c r="L42" s="180"/>
      <c r="M42" s="143"/>
    </row>
    <row r="43" spans="1:14" x14ac:dyDescent="0.2">
      <c r="A43" s="229" t="s">
        <v>148</v>
      </c>
      <c r="B43" s="7" t="s">
        <v>2</v>
      </c>
      <c r="C43" s="230">
        <v>22557.355603448275</v>
      </c>
      <c r="D43" s="231">
        <f>C43/'Guidelines and Rules'!$C$3</f>
        <v>271.12206254144559</v>
      </c>
      <c r="K43" s="180"/>
      <c r="L43" s="180"/>
      <c r="M43" s="143"/>
      <c r="N43" s="143"/>
    </row>
    <row r="44" spans="1:14" x14ac:dyDescent="0.2">
      <c r="A44" s="229" t="s">
        <v>148</v>
      </c>
      <c r="B44" s="7" t="s">
        <v>3</v>
      </c>
      <c r="C44" s="230">
        <v>33048.520312500004</v>
      </c>
      <c r="D44" s="231">
        <f>C44/'Guidelines and Rules'!$C$3</f>
        <v>397.21779221754809</v>
      </c>
      <c r="K44" s="180"/>
      <c r="L44" s="180"/>
      <c r="M44" s="143"/>
      <c r="N44" s="143"/>
    </row>
    <row r="45" spans="1:14" x14ac:dyDescent="0.2">
      <c r="A45" s="229" t="s">
        <v>148</v>
      </c>
      <c r="B45" s="7" t="s">
        <v>69</v>
      </c>
      <c r="C45" s="230">
        <v>59041.78875</v>
      </c>
      <c r="D45" s="231">
        <f>C45/'Guidelines and Rules'!$C$3</f>
        <v>709.636884014423</v>
      </c>
      <c r="K45" s="180"/>
      <c r="L45" s="180"/>
      <c r="M45" s="143"/>
      <c r="N45" s="143"/>
    </row>
    <row r="46" spans="1:14" x14ac:dyDescent="0.2">
      <c r="A46" s="229" t="s">
        <v>148</v>
      </c>
      <c r="B46" s="7" t="s">
        <v>70</v>
      </c>
      <c r="C46" s="230">
        <v>101610.98181818183</v>
      </c>
      <c r="D46" s="231">
        <f>C46/'Guidelines and Rules'!$C$3</f>
        <v>1221.2858391608393</v>
      </c>
      <c r="K46" s="180"/>
      <c r="L46" s="180"/>
      <c r="M46" s="143"/>
      <c r="N46" s="143"/>
    </row>
    <row r="47" spans="1:14" x14ac:dyDescent="0.2">
      <c r="A47" s="229" t="s">
        <v>148</v>
      </c>
      <c r="B47" s="7" t="s">
        <v>71</v>
      </c>
      <c r="C47" s="230">
        <v>117985.77</v>
      </c>
      <c r="D47" s="231">
        <f>C47/'Guidelines and Rules'!$C$3</f>
        <v>1418.0981971153847</v>
      </c>
      <c r="K47" s="180"/>
      <c r="L47" s="180"/>
      <c r="M47" s="143"/>
      <c r="N47" s="143"/>
    </row>
    <row r="48" spans="1:14" x14ac:dyDescent="0.2">
      <c r="A48" s="229" t="s">
        <v>148</v>
      </c>
      <c r="B48" s="7" t="s">
        <v>72</v>
      </c>
      <c r="C48" s="230">
        <v>199363.3425</v>
      </c>
      <c r="D48" s="231">
        <f>C48/'Guidelines and Rules'!$C$3</f>
        <v>2396.194020432692</v>
      </c>
      <c r="K48" s="180"/>
      <c r="L48" s="180"/>
      <c r="M48" s="143"/>
      <c r="N48" s="143"/>
    </row>
    <row r="49" spans="1:14" x14ac:dyDescent="0.2">
      <c r="A49" s="229" t="s">
        <v>148</v>
      </c>
      <c r="B49" s="7" t="s">
        <v>73</v>
      </c>
      <c r="C49" s="230">
        <v>297468.36</v>
      </c>
      <c r="D49" s="231">
        <f>C49/'Guidelines and Rules'!$C$3</f>
        <v>3575.340865384615</v>
      </c>
      <c r="K49" s="180"/>
      <c r="L49" s="180"/>
      <c r="M49" s="143"/>
      <c r="N49" s="143"/>
    </row>
    <row r="50" spans="1:14" x14ac:dyDescent="0.2">
      <c r="A50" s="229" t="s">
        <v>148</v>
      </c>
      <c r="B50" s="7" t="s">
        <v>153</v>
      </c>
      <c r="C50" s="232"/>
      <c r="D50" s="231">
        <f>C50/'Guidelines and Rules'!$C$3</f>
        <v>0</v>
      </c>
      <c r="K50" s="180"/>
      <c r="L50" s="180"/>
      <c r="M50" s="180"/>
    </row>
    <row r="51" spans="1:14" x14ac:dyDescent="0.2">
      <c r="A51" s="229" t="s">
        <v>148</v>
      </c>
      <c r="B51" s="7" t="s">
        <v>76</v>
      </c>
      <c r="C51" s="232">
        <v>7250</v>
      </c>
      <c r="D51" s="231">
        <f>C51/'Guidelines and Rules'!$C$3</f>
        <v>87.13942307692308</v>
      </c>
      <c r="E51" s="193"/>
      <c r="K51" s="180"/>
      <c r="L51" s="180"/>
      <c r="M51" s="180"/>
    </row>
    <row r="52" spans="1:14" x14ac:dyDescent="0.2">
      <c r="A52" s="229" t="s">
        <v>148</v>
      </c>
      <c r="B52" s="7" t="s">
        <v>151</v>
      </c>
      <c r="C52" s="230">
        <v>3150</v>
      </c>
      <c r="D52" s="231">
        <f>C52/'Guidelines and Rules'!$C$3</f>
        <v>37.86057692307692</v>
      </c>
      <c r="E52" s="193"/>
    </row>
    <row r="53" spans="1:14" x14ac:dyDescent="0.2">
      <c r="A53" s="229" t="s">
        <v>192</v>
      </c>
      <c r="B53" s="7" t="s">
        <v>135</v>
      </c>
      <c r="C53" s="258">
        <v>24000</v>
      </c>
      <c r="D53" s="231">
        <f>C53/'Guidelines and Rules'!$C$3</f>
        <v>288.46153846153845</v>
      </c>
    </row>
    <row r="54" spans="1:14" x14ac:dyDescent="0.2">
      <c r="A54" s="229" t="s">
        <v>192</v>
      </c>
      <c r="B54" s="7" t="s">
        <v>2</v>
      </c>
      <c r="C54" s="230">
        <v>24168.43681318681</v>
      </c>
      <c r="D54" s="231">
        <f>C54/'Guidelines and Rules'!$C$3</f>
        <v>290.48601938926453</v>
      </c>
    </row>
    <row r="55" spans="1:14" x14ac:dyDescent="0.2">
      <c r="A55" s="229" t="s">
        <v>192</v>
      </c>
      <c r="B55" s="7" t="s">
        <v>3</v>
      </c>
      <c r="C55" s="230">
        <v>37911.694954128441</v>
      </c>
      <c r="D55" s="231">
        <f>C55/'Guidelines and Rules'!$C$3</f>
        <v>455.66941050635143</v>
      </c>
    </row>
    <row r="56" spans="1:14" x14ac:dyDescent="0.2">
      <c r="A56" s="229" t="s">
        <v>192</v>
      </c>
      <c r="B56" s="7" t="s">
        <v>69</v>
      </c>
      <c r="C56" s="230">
        <v>74399.850000000006</v>
      </c>
      <c r="D56" s="231">
        <f>C56/'Guidelines and Rules'!$C$3</f>
        <v>894.22896634615392</v>
      </c>
    </row>
    <row r="57" spans="1:14" x14ac:dyDescent="0.2">
      <c r="A57" s="229" t="s">
        <v>192</v>
      </c>
      <c r="B57" s="7" t="s">
        <v>70</v>
      </c>
      <c r="C57" s="230">
        <v>113646.87</v>
      </c>
      <c r="D57" s="231">
        <f>C57/'Guidelines and Rules'!$C$3</f>
        <v>1365.9479567307692</v>
      </c>
    </row>
    <row r="58" spans="1:14" x14ac:dyDescent="0.2">
      <c r="A58" s="229" t="s">
        <v>192</v>
      </c>
      <c r="B58" s="7" t="s">
        <v>71</v>
      </c>
      <c r="C58" s="230">
        <v>185210.86499999999</v>
      </c>
      <c r="D58" s="231">
        <f>C58/'Guidelines and Rules'!$C$3</f>
        <v>2226.092127403846</v>
      </c>
    </row>
    <row r="59" spans="1:14" x14ac:dyDescent="0.2">
      <c r="A59" s="229" t="s">
        <v>192</v>
      </c>
      <c r="B59" s="7" t="s">
        <v>72</v>
      </c>
      <c r="C59" s="230">
        <v>224105.49</v>
      </c>
      <c r="D59" s="231">
        <f>C59/'Guidelines and Rules'!$C$3</f>
        <v>2693.5756009615384</v>
      </c>
    </row>
    <row r="60" spans="1:14" x14ac:dyDescent="0.2">
      <c r="A60" s="229" t="s">
        <v>192</v>
      </c>
      <c r="B60" s="7" t="s">
        <v>73</v>
      </c>
      <c r="C60" s="230">
        <v>275012.64</v>
      </c>
      <c r="D60" s="231">
        <f>C60/'Guidelines and Rules'!$C$3</f>
        <v>3305.4403846153846</v>
      </c>
    </row>
    <row r="61" spans="1:14" x14ac:dyDescent="0.2">
      <c r="A61" s="229" t="s">
        <v>192</v>
      </c>
      <c r="B61" s="7" t="s">
        <v>153</v>
      </c>
      <c r="C61" s="230"/>
      <c r="D61" s="231">
        <f>C61/'Guidelines and Rules'!$C$3</f>
        <v>0</v>
      </c>
    </row>
    <row r="62" spans="1:14" x14ac:dyDescent="0.2">
      <c r="A62" s="229" t="s">
        <v>192</v>
      </c>
      <c r="B62" s="7" t="s">
        <v>76</v>
      </c>
      <c r="C62" s="230">
        <v>2500</v>
      </c>
      <c r="D62" s="231">
        <f>C62/'Guidelines and Rules'!$C$3</f>
        <v>30.048076923076923</v>
      </c>
    </row>
    <row r="63" spans="1:14" x14ac:dyDescent="0.2">
      <c r="A63" s="233" t="s">
        <v>192</v>
      </c>
      <c r="B63" s="234" t="s">
        <v>151</v>
      </c>
      <c r="C63" s="235">
        <v>3600</v>
      </c>
      <c r="D63" s="236">
        <f>C63/'Guidelines and Rules'!$C$3</f>
        <v>43.269230769230766</v>
      </c>
    </row>
    <row r="68" spans="1:4" x14ac:dyDescent="0.2">
      <c r="A68" s="225" t="s">
        <v>181</v>
      </c>
      <c r="B68" s="226"/>
      <c r="C68" s="237"/>
      <c r="D68" s="238"/>
    </row>
    <row r="69" spans="1:4" x14ac:dyDescent="0.2">
      <c r="A69" s="229" t="s">
        <v>177</v>
      </c>
      <c r="B69" s="7" t="s">
        <v>135</v>
      </c>
      <c r="C69" s="180">
        <v>17000</v>
      </c>
      <c r="D69" s="239"/>
    </row>
    <row r="70" spans="1:4" x14ac:dyDescent="0.2">
      <c r="A70" s="229" t="s">
        <v>177</v>
      </c>
      <c r="B70" s="7" t="s">
        <v>2</v>
      </c>
      <c r="C70" s="230">
        <v>17991.711538461539</v>
      </c>
      <c r="D70" s="240">
        <f>C70/'Guidelines and Rules'!$C$3</f>
        <v>216.2465329142012</v>
      </c>
    </row>
    <row r="71" spans="1:4" x14ac:dyDescent="0.2">
      <c r="A71" s="229" t="s">
        <v>177</v>
      </c>
      <c r="B71" s="7" t="s">
        <v>3</v>
      </c>
      <c r="C71" s="230">
        <v>30675.774532710278</v>
      </c>
      <c r="D71" s="240">
        <f>C71/'Guidelines and Rules'!$C$3</f>
        <v>368.699213133537</v>
      </c>
    </row>
    <row r="72" spans="1:4" x14ac:dyDescent="0.2">
      <c r="A72" s="229" t="s">
        <v>177</v>
      </c>
      <c r="B72" s="7" t="s">
        <v>69</v>
      </c>
      <c r="C72" s="230">
        <v>45527.947499999995</v>
      </c>
      <c r="D72" s="240">
        <f>C72/'Guidelines and Rules'!$C$3</f>
        <v>547.21090745192305</v>
      </c>
    </row>
    <row r="73" spans="1:4" x14ac:dyDescent="0.2">
      <c r="A73" s="229" t="s">
        <v>177</v>
      </c>
      <c r="B73" s="7" t="s">
        <v>70</v>
      </c>
      <c r="C73" s="230">
        <v>61681.200000000004</v>
      </c>
      <c r="D73" s="240">
        <f>C73/'Guidelines and Rules'!$C$3</f>
        <v>741.36057692307691</v>
      </c>
    </row>
    <row r="74" spans="1:4" x14ac:dyDescent="0.2">
      <c r="A74" s="229" t="s">
        <v>177</v>
      </c>
      <c r="B74" s="7" t="s">
        <v>71</v>
      </c>
      <c r="C74" s="230">
        <v>78660.539999999994</v>
      </c>
      <c r="D74" s="240">
        <f>C74/'Guidelines and Rules'!$C$3</f>
        <v>945.43918269230755</v>
      </c>
    </row>
    <row r="75" spans="1:4" x14ac:dyDescent="0.2">
      <c r="A75" s="229" t="s">
        <v>177</v>
      </c>
      <c r="B75" s="7" t="s">
        <v>72</v>
      </c>
      <c r="C75" s="230">
        <v>132417.18</v>
      </c>
      <c r="D75" s="240">
        <f>C75/'Guidelines and Rules'!$C$3</f>
        <v>1591.5526442307691</v>
      </c>
    </row>
    <row r="76" spans="1:4" x14ac:dyDescent="0.2">
      <c r="A76" s="229" t="s">
        <v>177</v>
      </c>
      <c r="B76" s="7" t="s">
        <v>73</v>
      </c>
      <c r="C76" s="230">
        <v>171386.46</v>
      </c>
      <c r="D76" s="240">
        <f>C76/'Guidelines and Rules'!$C$3</f>
        <v>2059.9334134615383</v>
      </c>
    </row>
    <row r="77" spans="1:4" x14ac:dyDescent="0.2">
      <c r="A77" s="229" t="s">
        <v>177</v>
      </c>
      <c r="B77" s="7" t="s">
        <v>153</v>
      </c>
      <c r="C77" s="230"/>
      <c r="D77" s="239"/>
    </row>
    <row r="78" spans="1:4" x14ac:dyDescent="0.2">
      <c r="A78" s="229" t="s">
        <v>177</v>
      </c>
      <c r="B78" s="7" t="s">
        <v>76</v>
      </c>
      <c r="C78" s="230"/>
      <c r="D78" s="239"/>
    </row>
    <row r="79" spans="1:4" x14ac:dyDescent="0.2">
      <c r="A79" s="229" t="s">
        <v>177</v>
      </c>
      <c r="B79" s="7" t="s">
        <v>151</v>
      </c>
      <c r="C79" s="230"/>
      <c r="D79" s="239"/>
    </row>
    <row r="80" spans="1:4" x14ac:dyDescent="0.2">
      <c r="A80" s="229" t="s">
        <v>178</v>
      </c>
      <c r="B80" s="7" t="s">
        <v>135</v>
      </c>
      <c r="C80" s="180">
        <v>17000</v>
      </c>
      <c r="D80" s="239"/>
    </row>
    <row r="81" spans="1:4" x14ac:dyDescent="0.2">
      <c r="A81" s="229" t="s">
        <v>178</v>
      </c>
      <c r="B81" s="7" t="s">
        <v>2</v>
      </c>
      <c r="C81" s="230">
        <v>27829.767857142851</v>
      </c>
      <c r="D81" s="240">
        <f>C81/'Guidelines and Rules'!$C$3</f>
        <v>334.49240212912082</v>
      </c>
    </row>
    <row r="82" spans="1:4" x14ac:dyDescent="0.2">
      <c r="A82" s="229" t="s">
        <v>178</v>
      </c>
      <c r="B82" s="7" t="s">
        <v>3</v>
      </c>
      <c r="C82" s="230">
        <v>53769.345779220785</v>
      </c>
      <c r="D82" s="240">
        <f>C82/'Guidelines and Rules'!$C$3</f>
        <v>646.26617523101902</v>
      </c>
    </row>
    <row r="83" spans="1:4" x14ac:dyDescent="0.2">
      <c r="A83" s="229" t="s">
        <v>178</v>
      </c>
      <c r="B83" s="7" t="s">
        <v>69</v>
      </c>
      <c r="C83" s="230">
        <v>84860.243999999992</v>
      </c>
      <c r="D83" s="240">
        <f>C83/'Guidelines and Rules'!$C$3</f>
        <v>1019.9548557692307</v>
      </c>
    </row>
    <row r="84" spans="1:4" x14ac:dyDescent="0.2">
      <c r="A84" s="229" t="s">
        <v>178</v>
      </c>
      <c r="B84" s="7" t="s">
        <v>70</v>
      </c>
      <c r="C84" s="230">
        <v>96996.06</v>
      </c>
      <c r="D84" s="240">
        <f>C84/'Guidelines and Rules'!$C$3</f>
        <v>1165.8180288461538</v>
      </c>
    </row>
    <row r="85" spans="1:4" x14ac:dyDescent="0.2">
      <c r="A85" s="229" t="s">
        <v>178</v>
      </c>
      <c r="B85" s="7" t="s">
        <v>71</v>
      </c>
      <c r="C85" s="230">
        <v>134058.96</v>
      </c>
      <c r="D85" s="240">
        <f>C85/'Guidelines and Rules'!$C$3</f>
        <v>1611.2855769230769</v>
      </c>
    </row>
    <row r="86" spans="1:4" x14ac:dyDescent="0.2">
      <c r="A86" s="229" t="s">
        <v>178</v>
      </c>
      <c r="B86" s="7" t="s">
        <v>72</v>
      </c>
      <c r="C86" s="230">
        <v>189590.94</v>
      </c>
      <c r="D86" s="240">
        <f>C86/'Guidelines and Rules'!$C$3</f>
        <v>2278.7372596153846</v>
      </c>
    </row>
    <row r="87" spans="1:4" x14ac:dyDescent="0.2">
      <c r="A87" s="229" t="s">
        <v>178</v>
      </c>
      <c r="B87" s="7" t="s">
        <v>73</v>
      </c>
      <c r="C87" s="230">
        <v>206437.9</v>
      </c>
      <c r="D87" s="240">
        <f>C87/'Guidelines and Rules'!$C$3</f>
        <v>2481.2247596153843</v>
      </c>
    </row>
    <row r="88" spans="1:4" x14ac:dyDescent="0.2">
      <c r="A88" s="229" t="s">
        <v>178</v>
      </c>
      <c r="B88" s="7" t="s">
        <v>153</v>
      </c>
      <c r="C88" s="230"/>
      <c r="D88" s="239"/>
    </row>
    <row r="89" spans="1:4" x14ac:dyDescent="0.2">
      <c r="A89" s="229" t="s">
        <v>178</v>
      </c>
      <c r="B89" s="7" t="s">
        <v>76</v>
      </c>
      <c r="C89" s="230"/>
      <c r="D89" s="239"/>
    </row>
    <row r="90" spans="1:4" x14ac:dyDescent="0.2">
      <c r="A90" s="229" t="s">
        <v>178</v>
      </c>
      <c r="B90" s="7" t="s">
        <v>151</v>
      </c>
      <c r="C90" s="230"/>
      <c r="D90" s="239"/>
    </row>
    <row r="91" spans="1:4" x14ac:dyDescent="0.2">
      <c r="A91" s="229" t="s">
        <v>179</v>
      </c>
      <c r="B91" s="7" t="s">
        <v>135</v>
      </c>
      <c r="C91" s="230">
        <v>17000</v>
      </c>
      <c r="D91" s="239"/>
    </row>
    <row r="92" spans="1:4" x14ac:dyDescent="0.2">
      <c r="A92" s="229" t="s">
        <v>179</v>
      </c>
      <c r="B92" s="7" t="s">
        <v>2</v>
      </c>
      <c r="C92" s="230">
        <v>23571</v>
      </c>
      <c r="D92" s="240">
        <f>C92/'Guidelines and Rules'!$C$3</f>
        <v>283.30528846153845</v>
      </c>
    </row>
    <row r="93" spans="1:4" x14ac:dyDescent="0.2">
      <c r="A93" s="229" t="s">
        <v>179</v>
      </c>
      <c r="B93" s="7" t="s">
        <v>3</v>
      </c>
      <c r="C93" s="230">
        <v>32293.5</v>
      </c>
      <c r="D93" s="240">
        <f>C93/'Guidelines and Rules'!$C$3</f>
        <v>388.14302884615381</v>
      </c>
    </row>
    <row r="94" spans="1:4" x14ac:dyDescent="0.2">
      <c r="A94" s="229" t="s">
        <v>179</v>
      </c>
      <c r="B94" s="7" t="s">
        <v>69</v>
      </c>
      <c r="C94" s="230">
        <v>43915</v>
      </c>
      <c r="D94" s="240">
        <f>C94/'Guidelines and Rules'!$C$3</f>
        <v>527.82451923076917</v>
      </c>
    </row>
    <row r="95" spans="1:4" x14ac:dyDescent="0.2">
      <c r="A95" s="229" t="s">
        <v>179</v>
      </c>
      <c r="B95" s="7" t="s">
        <v>70</v>
      </c>
      <c r="C95" s="230">
        <v>67467</v>
      </c>
      <c r="D95" s="240">
        <f>C95/'Guidelines and Rules'!$C$3</f>
        <v>810.90144230769226</v>
      </c>
    </row>
    <row r="96" spans="1:4" x14ac:dyDescent="0.2">
      <c r="A96" s="229" t="s">
        <v>179</v>
      </c>
      <c r="B96" s="7" t="s">
        <v>71</v>
      </c>
      <c r="C96" s="230">
        <v>99987</v>
      </c>
      <c r="D96" s="240">
        <f>C96/'Guidelines and Rules'!$C$3</f>
        <v>1201.7668269230769</v>
      </c>
    </row>
    <row r="97" spans="1:4" x14ac:dyDescent="0.2">
      <c r="A97" s="229" t="s">
        <v>179</v>
      </c>
      <c r="B97" s="7" t="s">
        <v>72</v>
      </c>
      <c r="C97" s="230">
        <v>127962</v>
      </c>
      <c r="D97" s="240">
        <f>C97/'Guidelines and Rules'!$C$3</f>
        <v>1538.0048076923076</v>
      </c>
    </row>
    <row r="98" spans="1:4" x14ac:dyDescent="0.2">
      <c r="A98" s="229" t="s">
        <v>179</v>
      </c>
      <c r="B98" s="7" t="s">
        <v>73</v>
      </c>
      <c r="C98" s="230">
        <v>155937</v>
      </c>
      <c r="D98" s="240">
        <f>C98/'Guidelines and Rules'!$C$3</f>
        <v>1874.2427884615383</v>
      </c>
    </row>
    <row r="99" spans="1:4" x14ac:dyDescent="0.2">
      <c r="A99" s="229" t="s">
        <v>179</v>
      </c>
      <c r="B99" s="7" t="s">
        <v>153</v>
      </c>
      <c r="C99" s="232"/>
      <c r="D99" s="239"/>
    </row>
    <row r="100" spans="1:4" x14ac:dyDescent="0.2">
      <c r="A100" s="229" t="s">
        <v>179</v>
      </c>
      <c r="B100" s="7" t="s">
        <v>76</v>
      </c>
      <c r="C100" s="232"/>
      <c r="D100" s="239"/>
    </row>
    <row r="101" spans="1:4" x14ac:dyDescent="0.2">
      <c r="A101" s="233" t="s">
        <v>179</v>
      </c>
      <c r="B101" s="234" t="s">
        <v>151</v>
      </c>
      <c r="C101" s="235"/>
      <c r="D101" s="2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22"/>
  <sheetViews>
    <sheetView showGridLines="0" workbookViewId="0">
      <selection activeCell="B12" sqref="B12"/>
    </sheetView>
  </sheetViews>
  <sheetFormatPr defaultRowHeight="15" x14ac:dyDescent="0.2"/>
  <cols>
    <col min="2" max="2" width="46.54296875" bestFit="1" customWidth="1"/>
    <col min="3" max="3" width="10.625" bestFit="1" customWidth="1"/>
    <col min="7" max="7" width="19.63671875" hidden="1" customWidth="1"/>
    <col min="8" max="8" width="17.484375" hidden="1" customWidth="1"/>
    <col min="9" max="9" width="7.93359375" hidden="1" customWidth="1"/>
  </cols>
  <sheetData>
    <row r="1" spans="2:11" x14ac:dyDescent="0.2">
      <c r="H1" t="s">
        <v>57</v>
      </c>
    </row>
    <row r="2" spans="2:11" x14ac:dyDescent="0.2">
      <c r="B2" s="203" t="s">
        <v>166</v>
      </c>
      <c r="C2" s="215" t="s">
        <v>122</v>
      </c>
      <c r="G2" t="s">
        <v>146</v>
      </c>
      <c r="H2" s="253">
        <v>0.55000000000000004</v>
      </c>
      <c r="K2" s="263"/>
    </row>
    <row r="3" spans="2:11" x14ac:dyDescent="0.2">
      <c r="B3" s="203" t="s">
        <v>167</v>
      </c>
      <c r="C3" s="216" t="s">
        <v>146</v>
      </c>
      <c r="G3" t="s">
        <v>148</v>
      </c>
      <c r="H3" s="253">
        <v>0.55000000000000004</v>
      </c>
      <c r="K3" s="263"/>
    </row>
    <row r="4" spans="2:11" x14ac:dyDescent="0.2">
      <c r="B4" s="204" t="s">
        <v>168</v>
      </c>
      <c r="C4" s="265">
        <v>5000</v>
      </c>
      <c r="G4" t="s">
        <v>147</v>
      </c>
      <c r="H4" s="253">
        <v>0.5</v>
      </c>
      <c r="K4" s="263"/>
    </row>
    <row r="5" spans="2:11" x14ac:dyDescent="0.2">
      <c r="B5" s="203" t="s">
        <v>169</v>
      </c>
      <c r="C5" s="264">
        <f>VLOOKUP(C3,G2:H6,2,0)</f>
        <v>0.55000000000000004</v>
      </c>
      <c r="G5" t="s">
        <v>192</v>
      </c>
      <c r="H5" s="253">
        <v>0.6</v>
      </c>
      <c r="K5" s="263"/>
    </row>
    <row r="6" spans="2:11" x14ac:dyDescent="0.2">
      <c r="B6" s="203" t="s">
        <v>170</v>
      </c>
      <c r="C6" s="251">
        <f>C4*(1-C5)-SUM(H18:H22)</f>
        <v>1220.5048076923078</v>
      </c>
      <c r="D6" s="273"/>
      <c r="E6" s="273"/>
      <c r="G6" t="s">
        <v>199</v>
      </c>
      <c r="H6" s="253">
        <v>0.6</v>
      </c>
    </row>
    <row r="7" spans="2:11" x14ac:dyDescent="0.2">
      <c r="B7" s="203" t="s">
        <v>171</v>
      </c>
      <c r="C7" s="266">
        <f>C6*'Guidelines and Rules'!C3</f>
        <v>101546.00000000001</v>
      </c>
      <c r="D7" s="250"/>
      <c r="E7" s="263"/>
    </row>
    <row r="8" spans="2:11" x14ac:dyDescent="0.2">
      <c r="B8" s="204"/>
      <c r="C8" s="205"/>
      <c r="G8" t="s">
        <v>146</v>
      </c>
      <c r="H8" t="s">
        <v>76</v>
      </c>
      <c r="I8" s="180">
        <f>Inputs!C29</f>
        <v>11850</v>
      </c>
    </row>
    <row r="9" spans="2:11" x14ac:dyDescent="0.2">
      <c r="B9" s="206" t="s">
        <v>172</v>
      </c>
      <c r="C9" s="205"/>
      <c r="G9" t="s">
        <v>146</v>
      </c>
      <c r="H9" t="s">
        <v>151</v>
      </c>
      <c r="I9" s="180">
        <f>Inputs!C30</f>
        <v>3500</v>
      </c>
    </row>
    <row r="10" spans="2:11" x14ac:dyDescent="0.2">
      <c r="B10" s="214" t="s">
        <v>173</v>
      </c>
      <c r="C10" s="205"/>
      <c r="G10" t="s">
        <v>147</v>
      </c>
      <c r="H10" t="s">
        <v>76</v>
      </c>
      <c r="I10" s="180">
        <f>Inputs!C40</f>
        <v>29300</v>
      </c>
    </row>
    <row r="11" spans="2:11" x14ac:dyDescent="0.2">
      <c r="B11" s="207"/>
      <c r="C11" s="208"/>
      <c r="G11" t="s">
        <v>147</v>
      </c>
      <c r="H11" t="s">
        <v>151</v>
      </c>
      <c r="I11" s="180">
        <f>Inputs!C41</f>
        <v>3450</v>
      </c>
    </row>
    <row r="12" spans="2:11" x14ac:dyDescent="0.2">
      <c r="B12" s="209"/>
      <c r="C12" s="205"/>
      <c r="G12" t="s">
        <v>148</v>
      </c>
      <c r="H12" t="s">
        <v>76</v>
      </c>
      <c r="I12" s="180">
        <f>Inputs!C51</f>
        <v>7250</v>
      </c>
    </row>
    <row r="13" spans="2:11" x14ac:dyDescent="0.2">
      <c r="G13" t="s">
        <v>148</v>
      </c>
      <c r="H13" t="s">
        <v>151</v>
      </c>
      <c r="I13" s="180">
        <f>Inputs!C52</f>
        <v>3150</v>
      </c>
    </row>
    <row r="14" spans="2:11" x14ac:dyDescent="0.2">
      <c r="G14" t="s">
        <v>192</v>
      </c>
      <c r="H14" t="s">
        <v>76</v>
      </c>
      <c r="I14" s="180">
        <f>Inputs!C62</f>
        <v>2500</v>
      </c>
    </row>
    <row r="15" spans="2:11" x14ac:dyDescent="0.2">
      <c r="G15" t="s">
        <v>192</v>
      </c>
      <c r="H15" t="s">
        <v>151</v>
      </c>
      <c r="I15" s="180">
        <f>Inputs!C63</f>
        <v>3600</v>
      </c>
    </row>
    <row r="18" spans="7:8" x14ac:dyDescent="0.2">
      <c r="G18" s="210" t="s">
        <v>150</v>
      </c>
      <c r="H18" s="211">
        <f>SUMPRODUCT(($G$8:$G$15=$C$3)*($H$8:$H$15=G18)*$I$8:$I$15)/'Guidelines and Rules'!$C$3</f>
        <v>142.42788461538461</v>
      </c>
    </row>
    <row r="19" spans="7:8" x14ac:dyDescent="0.2">
      <c r="G19" s="212" t="s">
        <v>155</v>
      </c>
      <c r="H19" s="211">
        <f>IFERROR(VLOOKUP(C2,'Guidelines and Rules'!E33:F37,2,0)*C4,0)</f>
        <v>25</v>
      </c>
    </row>
    <row r="20" spans="7:8" x14ac:dyDescent="0.2">
      <c r="G20" s="212" t="s">
        <v>151</v>
      </c>
      <c r="H20" s="211">
        <f>IF(C3="Personiv DS",0,SUMPRODUCT(($G$8:$G$15=$C$3)*($H$8:$H$15=G20)*$I$8:$I$15)/'Guidelines and Rules'!$C$3)</f>
        <v>42.067307692307693</v>
      </c>
    </row>
    <row r="21" spans="7:8" x14ac:dyDescent="0.2">
      <c r="G21" s="212" t="s">
        <v>29</v>
      </c>
      <c r="H21" s="211">
        <f>VLOOKUP(C2,'Guidelines and Rules'!E3:F8,2,0)*C4</f>
        <v>709.99999999999989</v>
      </c>
    </row>
    <row r="22" spans="7:8" x14ac:dyDescent="0.2">
      <c r="G22" s="213" t="s">
        <v>88</v>
      </c>
      <c r="H22" s="211">
        <f>VLOOKUP(C2,'Guidelines and Rules'!E11:F16,2,0)*C4</f>
        <v>110</v>
      </c>
    </row>
  </sheetData>
  <sheetProtection algorithmName="SHA-512" hashValue="qmUOnL+NNQSXKyqZqruPwO0L/ykE2AgjxfsQSTPnlIwdy8rD/7u8y5AVJ1MGQ79xFl3q+ySh5GwndChW25n8Uw==" saltValue="8bOP908TL8fFRmJXh18Rqg==" spinCount="100000" sheet="1" objects="1" scenarios="1"/>
  <dataValidations count="1">
    <dataValidation type="list" allowBlank="1" showInputMessage="1" showErrorMessage="1" sqref="C3" xr:uid="{00000000-0002-0000-0200-000000000000}">
      <formula1>$G$2:$G$6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'Guidelines and Rules'!$E$3:$E$8</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54"/>
  <sheetViews>
    <sheetView showGridLines="0" zoomScale="80" zoomScaleNormal="80" workbookViewId="0"/>
  </sheetViews>
  <sheetFormatPr defaultRowHeight="15" x14ac:dyDescent="0.2"/>
  <cols>
    <col min="1" max="1" width="3.49609375" customWidth="1"/>
    <col min="2" max="2" width="25.01953125" bestFit="1" customWidth="1"/>
    <col min="3" max="3" width="8.609375" bestFit="1" customWidth="1"/>
    <col min="4" max="4" width="5.109375" customWidth="1"/>
    <col min="5" max="5" width="20.984375" bestFit="1" customWidth="1"/>
    <col min="6" max="6" width="7.3984375" bestFit="1" customWidth="1"/>
    <col min="7" max="7" width="5.6484375" customWidth="1"/>
    <col min="8" max="8" width="13.44921875" bestFit="1" customWidth="1"/>
    <col min="9" max="9" width="19.50390625" bestFit="1" customWidth="1"/>
    <col min="10" max="10" width="9.14453125" bestFit="1" customWidth="1"/>
    <col min="11" max="11" width="9.953125" bestFit="1" customWidth="1"/>
    <col min="12" max="12" width="8.875" bestFit="1" customWidth="1"/>
    <col min="13" max="14" width="8.609375" bestFit="1" customWidth="1"/>
    <col min="16" max="16" width="4.9765625" bestFit="1" customWidth="1"/>
    <col min="17" max="17" width="18.4296875" hidden="1" customWidth="1"/>
    <col min="18" max="18" width="5.51171875" hidden="1" customWidth="1"/>
  </cols>
  <sheetData>
    <row r="1" spans="1:18" ht="15.75" thickBot="1" x14ac:dyDescent="0.25">
      <c r="I1" s="150" t="s">
        <v>103</v>
      </c>
      <c r="J1" s="129"/>
      <c r="Q1" s="2" t="s">
        <v>120</v>
      </c>
    </row>
    <row r="2" spans="1:18" x14ac:dyDescent="0.2">
      <c r="A2" s="2"/>
      <c r="B2" s="300" t="s">
        <v>39</v>
      </c>
      <c r="C2" s="301"/>
      <c r="D2" s="17"/>
      <c r="E2" s="300" t="s">
        <v>84</v>
      </c>
      <c r="F2" s="301"/>
      <c r="H2" s="134" t="s">
        <v>24</v>
      </c>
      <c r="I2" s="135" t="s">
        <v>46</v>
      </c>
      <c r="J2" s="135" t="s">
        <v>50</v>
      </c>
      <c r="K2" s="135" t="s">
        <v>107</v>
      </c>
      <c r="L2" s="135" t="s">
        <v>37</v>
      </c>
      <c r="M2" s="135" t="s">
        <v>51</v>
      </c>
      <c r="N2" s="269" t="s">
        <v>41</v>
      </c>
      <c r="Q2">
        <v>1</v>
      </c>
      <c r="R2">
        <v>0.5</v>
      </c>
    </row>
    <row r="3" spans="1:18" ht="15.75" thickBot="1" x14ac:dyDescent="0.25">
      <c r="B3" s="153" t="s">
        <v>9</v>
      </c>
      <c r="C3" s="254">
        <v>83.2</v>
      </c>
      <c r="D3" s="19"/>
      <c r="E3" s="151" t="s">
        <v>122</v>
      </c>
      <c r="F3" s="25">
        <v>0.14199999999999999</v>
      </c>
      <c r="G3" s="4" t="str">
        <f>H3&amp;I3</f>
        <v>ConsultantWest or East Coast</v>
      </c>
      <c r="H3" s="136" t="s">
        <v>44</v>
      </c>
      <c r="I3" s="131" t="s">
        <v>124</v>
      </c>
      <c r="J3" s="145">
        <v>130</v>
      </c>
      <c r="K3" s="133"/>
      <c r="L3" s="267" t="s">
        <v>17</v>
      </c>
      <c r="M3" s="274" t="s">
        <v>23</v>
      </c>
      <c r="N3" s="270"/>
      <c r="O3" s="143"/>
      <c r="P3" s="143"/>
      <c r="Q3">
        <v>2</v>
      </c>
      <c r="R3">
        <v>1</v>
      </c>
    </row>
    <row r="4" spans="1:18" ht="15.75" thickBot="1" x14ac:dyDescent="0.25">
      <c r="D4" s="19"/>
      <c r="E4" s="151" t="s">
        <v>197</v>
      </c>
      <c r="F4" s="25">
        <v>0.09</v>
      </c>
      <c r="G4" s="4" t="str">
        <f t="shared" ref="G4:G6" si="0">H4&amp;I4</f>
        <v>ConsultantAustin</v>
      </c>
      <c r="H4" s="136" t="s">
        <v>44</v>
      </c>
      <c r="I4" s="131" t="s">
        <v>125</v>
      </c>
      <c r="J4" s="145">
        <v>108</v>
      </c>
      <c r="K4" s="133"/>
      <c r="L4" s="267" t="s">
        <v>17</v>
      </c>
      <c r="M4" s="274" t="s">
        <v>23</v>
      </c>
      <c r="N4" s="270"/>
      <c r="O4" s="143"/>
      <c r="P4" s="143"/>
      <c r="Q4">
        <v>3</v>
      </c>
      <c r="R4">
        <v>1.5</v>
      </c>
    </row>
    <row r="5" spans="1:18" ht="15.75" thickBot="1" x14ac:dyDescent="0.25">
      <c r="B5" s="302" t="s">
        <v>25</v>
      </c>
      <c r="C5" s="303"/>
      <c r="D5" s="20"/>
      <c r="E5" s="152" t="s">
        <v>123</v>
      </c>
      <c r="F5" s="26">
        <v>0.13</v>
      </c>
      <c r="G5" s="4" t="str">
        <f t="shared" si="0"/>
        <v>ConsultantDell</v>
      </c>
      <c r="H5" s="136" t="s">
        <v>44</v>
      </c>
      <c r="I5" s="131" t="s">
        <v>47</v>
      </c>
      <c r="J5" s="145">
        <v>105</v>
      </c>
      <c r="K5" s="133"/>
      <c r="L5" s="267" t="s">
        <v>17</v>
      </c>
      <c r="M5" s="274" t="s">
        <v>23</v>
      </c>
      <c r="N5" s="270"/>
      <c r="O5" s="143"/>
      <c r="P5" s="143"/>
      <c r="Q5">
        <v>4</v>
      </c>
      <c r="R5">
        <v>2</v>
      </c>
    </row>
    <row r="6" spans="1:18" x14ac:dyDescent="0.2">
      <c r="B6" s="151" t="s">
        <v>52</v>
      </c>
      <c r="C6" s="24">
        <v>0.15</v>
      </c>
      <c r="D6" s="21"/>
      <c r="E6" s="152" t="s">
        <v>195</v>
      </c>
      <c r="F6" s="26">
        <v>0.11799999999999999</v>
      </c>
      <c r="G6" s="4" t="str">
        <f t="shared" si="0"/>
        <v>ConsultantLondon</v>
      </c>
      <c r="H6" s="136" t="s">
        <v>44</v>
      </c>
      <c r="I6" s="131" t="s">
        <v>48</v>
      </c>
      <c r="J6" s="145">
        <v>921.59999999999991</v>
      </c>
      <c r="K6" s="133"/>
      <c r="L6" s="267" t="s">
        <v>18</v>
      </c>
      <c r="M6" s="274" t="s">
        <v>19</v>
      </c>
      <c r="N6" s="270"/>
      <c r="O6" s="143"/>
      <c r="P6" s="143"/>
      <c r="Q6">
        <v>5</v>
      </c>
      <c r="R6">
        <v>2.5</v>
      </c>
    </row>
    <row r="7" spans="1:18" x14ac:dyDescent="0.2">
      <c r="A7" s="3"/>
      <c r="B7" s="151" t="s">
        <v>28</v>
      </c>
      <c r="C7" s="24">
        <v>0</v>
      </c>
      <c r="D7" s="6"/>
      <c r="E7" s="152" t="s">
        <v>194</v>
      </c>
      <c r="F7" s="26">
        <v>0.2</v>
      </c>
      <c r="G7" s="4" t="str">
        <f t="shared" ref="G7:G14" si="1">H7&amp;I7</f>
        <v>ConsultantSingapore</v>
      </c>
      <c r="H7" s="136" t="s">
        <v>44</v>
      </c>
      <c r="I7" s="131" t="s">
        <v>49</v>
      </c>
      <c r="J7" s="145">
        <v>8500</v>
      </c>
      <c r="K7" s="133"/>
      <c r="L7" s="267" t="s">
        <v>16</v>
      </c>
      <c r="M7" s="274" t="s">
        <v>20</v>
      </c>
      <c r="N7" s="270"/>
      <c r="O7" s="143"/>
      <c r="P7" s="143"/>
      <c r="Q7">
        <v>6</v>
      </c>
      <c r="R7">
        <v>3</v>
      </c>
    </row>
    <row r="8" spans="1:18" ht="15.75" thickBot="1" x14ac:dyDescent="0.25">
      <c r="A8" s="3"/>
      <c r="B8" s="152" t="s">
        <v>19</v>
      </c>
      <c r="C8" s="8">
        <v>1.26</v>
      </c>
      <c r="D8" s="17"/>
      <c r="E8" s="153" t="s">
        <v>196</v>
      </c>
      <c r="F8" s="27">
        <v>3.2000000000000001E-2</v>
      </c>
      <c r="G8" s="4" t="str">
        <f t="shared" si="1"/>
        <v>Sr. ConsultantWest or East Coast</v>
      </c>
      <c r="H8" s="136" t="s">
        <v>45</v>
      </c>
      <c r="I8" s="131" t="s">
        <v>124</v>
      </c>
      <c r="J8" s="145">
        <v>146</v>
      </c>
      <c r="K8" s="133"/>
      <c r="L8" s="267" t="s">
        <v>17</v>
      </c>
      <c r="M8" s="274" t="s">
        <v>23</v>
      </c>
      <c r="N8" s="270"/>
      <c r="O8" s="143"/>
      <c r="P8" s="143"/>
      <c r="Q8">
        <v>7</v>
      </c>
      <c r="R8">
        <v>3.5</v>
      </c>
    </row>
    <row r="9" spans="1:18" ht="15.75" thickBot="1" x14ac:dyDescent="0.25">
      <c r="A9" s="1"/>
      <c r="B9" s="152" t="s">
        <v>20</v>
      </c>
      <c r="C9" s="9">
        <v>1.08</v>
      </c>
      <c r="D9" s="18"/>
      <c r="E9" s="5"/>
      <c r="G9" s="4" t="str">
        <f t="shared" si="1"/>
        <v>Sr. ConsultantAustin</v>
      </c>
      <c r="H9" s="136" t="s">
        <v>45</v>
      </c>
      <c r="I9" s="131" t="s">
        <v>125</v>
      </c>
      <c r="J9" s="145">
        <v>130</v>
      </c>
      <c r="K9" s="133"/>
      <c r="L9" s="267" t="s">
        <v>17</v>
      </c>
      <c r="M9" s="274" t="s">
        <v>23</v>
      </c>
      <c r="N9" s="270"/>
      <c r="O9" s="143"/>
      <c r="P9" s="143"/>
      <c r="Q9">
        <v>8</v>
      </c>
      <c r="R9">
        <v>4</v>
      </c>
    </row>
    <row r="10" spans="1:18" x14ac:dyDescent="0.2">
      <c r="A10" s="1"/>
      <c r="B10" s="154" t="s">
        <v>22</v>
      </c>
      <c r="C10" s="10">
        <v>0.74</v>
      </c>
      <c r="D10" s="18"/>
      <c r="E10" s="300" t="s">
        <v>89</v>
      </c>
      <c r="F10" s="301"/>
      <c r="G10" s="4" t="str">
        <f t="shared" si="1"/>
        <v>Sr. ConsultantDell</v>
      </c>
      <c r="H10" s="136" t="s">
        <v>45</v>
      </c>
      <c r="I10" s="131" t="s">
        <v>47</v>
      </c>
      <c r="J10" s="145">
        <v>130</v>
      </c>
      <c r="K10" s="133"/>
      <c r="L10" s="267" t="s">
        <v>17</v>
      </c>
      <c r="M10" s="274" t="s">
        <v>23</v>
      </c>
      <c r="N10" s="270"/>
      <c r="O10" s="143"/>
      <c r="P10" s="143"/>
      <c r="Q10">
        <v>9</v>
      </c>
      <c r="R10">
        <v>4.5</v>
      </c>
    </row>
    <row r="11" spans="1:18" ht="15.75" thickBot="1" x14ac:dyDescent="0.25">
      <c r="A11" s="1"/>
      <c r="B11" s="153" t="s">
        <v>23</v>
      </c>
      <c r="C11" s="11">
        <v>1</v>
      </c>
      <c r="D11" s="22"/>
      <c r="E11" s="151" t="s">
        <v>122</v>
      </c>
      <c r="F11" s="25">
        <v>2.1999999999999999E-2</v>
      </c>
      <c r="G11" s="4" t="str">
        <f t="shared" si="1"/>
        <v>Sr. ConsultantLondon</v>
      </c>
      <c r="H11" s="136" t="s">
        <v>45</v>
      </c>
      <c r="I11" s="131" t="s">
        <v>48</v>
      </c>
      <c r="J11" s="145">
        <v>1152</v>
      </c>
      <c r="K11" s="133"/>
      <c r="L11" s="267" t="s">
        <v>18</v>
      </c>
      <c r="M11" s="274" t="s">
        <v>19</v>
      </c>
      <c r="N11" s="270"/>
      <c r="O11" s="143"/>
      <c r="P11" s="143"/>
      <c r="Q11">
        <v>10</v>
      </c>
      <c r="R11">
        <v>5</v>
      </c>
    </row>
    <row r="12" spans="1:18" x14ac:dyDescent="0.2">
      <c r="D12" s="23"/>
      <c r="E12" s="151" t="s">
        <v>197</v>
      </c>
      <c r="F12" s="25">
        <v>2.3E-2</v>
      </c>
      <c r="G12" s="4" t="str">
        <f t="shared" si="1"/>
        <v>Sr. ConsultantEurope</v>
      </c>
      <c r="H12" s="136" t="s">
        <v>45</v>
      </c>
      <c r="I12" s="131" t="s">
        <v>126</v>
      </c>
      <c r="J12" s="145">
        <v>1008</v>
      </c>
      <c r="K12" s="133"/>
      <c r="L12" s="267" t="s">
        <v>18</v>
      </c>
      <c r="M12" s="274" t="s">
        <v>20</v>
      </c>
      <c r="N12" s="270"/>
      <c r="O12" s="143"/>
      <c r="P12" s="143"/>
      <c r="Q12">
        <v>11</v>
      </c>
      <c r="R12">
        <v>5.5</v>
      </c>
    </row>
    <row r="13" spans="1:18" x14ac:dyDescent="0.2">
      <c r="B13" s="13"/>
      <c r="C13" s="13"/>
      <c r="D13" s="23"/>
      <c r="E13" s="152" t="s">
        <v>123</v>
      </c>
      <c r="F13" s="26">
        <v>4.2999999999999997E-2</v>
      </c>
      <c r="G13" s="4" t="str">
        <f t="shared" si="1"/>
        <v>Sr. ConsultantSingapore</v>
      </c>
      <c r="H13" s="136" t="s">
        <v>45</v>
      </c>
      <c r="I13" s="131" t="s">
        <v>49</v>
      </c>
      <c r="J13" s="145">
        <v>12000</v>
      </c>
      <c r="K13" s="133"/>
      <c r="L13" s="267" t="s">
        <v>16</v>
      </c>
      <c r="M13" s="274" t="s">
        <v>23</v>
      </c>
      <c r="N13" s="270"/>
      <c r="O13" s="143"/>
      <c r="P13" s="143"/>
      <c r="Q13">
        <v>12</v>
      </c>
      <c r="R13">
        <v>6</v>
      </c>
    </row>
    <row r="14" spans="1:18" ht="15.75" thickBot="1" x14ac:dyDescent="0.25">
      <c r="B14" s="6"/>
      <c r="C14" s="6"/>
      <c r="D14" s="23"/>
      <c r="E14" s="152" t="s">
        <v>195</v>
      </c>
      <c r="F14" s="26">
        <v>2.1999999999999999E-2</v>
      </c>
      <c r="G14" s="4" t="str">
        <f t="shared" si="1"/>
        <v>ConsultantEurope</v>
      </c>
      <c r="H14" s="137" t="s">
        <v>44</v>
      </c>
      <c r="I14" s="138" t="s">
        <v>126</v>
      </c>
      <c r="J14" s="146">
        <v>806.40000000000009</v>
      </c>
      <c r="K14" s="271"/>
      <c r="L14" s="268" t="s">
        <v>18</v>
      </c>
      <c r="M14" s="275" t="s">
        <v>20</v>
      </c>
      <c r="N14" s="272"/>
      <c r="O14" s="143"/>
      <c r="P14" s="143"/>
      <c r="R14">
        <v>6.5</v>
      </c>
    </row>
    <row r="15" spans="1:18" ht="15.75" thickBot="1" x14ac:dyDescent="0.25">
      <c r="A15" s="1"/>
      <c r="B15" s="6"/>
      <c r="C15" s="6"/>
      <c r="E15" s="152" t="s">
        <v>194</v>
      </c>
      <c r="F15" s="26">
        <v>2.5000000000000001E-2</v>
      </c>
      <c r="H15" s="7"/>
      <c r="I15" s="7"/>
      <c r="R15">
        <v>7</v>
      </c>
    </row>
    <row r="16" spans="1:18" ht="15.75" thickBot="1" x14ac:dyDescent="0.25">
      <c r="A16" s="6"/>
      <c r="D16" s="13"/>
      <c r="E16" s="153" t="s">
        <v>196</v>
      </c>
      <c r="F16" s="27">
        <v>2E-3</v>
      </c>
      <c r="G16" s="12"/>
      <c r="H16" s="6"/>
      <c r="I16" s="139"/>
      <c r="J16" s="140"/>
      <c r="K16" s="132" t="s">
        <v>87</v>
      </c>
      <c r="L16" s="6"/>
      <c r="M16" s="6"/>
      <c r="N16" s="6"/>
      <c r="R16">
        <v>7.5</v>
      </c>
    </row>
    <row r="17" spans="1:18" ht="15.75" thickBot="1" x14ac:dyDescent="0.25">
      <c r="A17" s="14"/>
      <c r="D17" s="6"/>
      <c r="G17" s="16"/>
      <c r="H17" s="6"/>
      <c r="I17" s="155" t="s">
        <v>44</v>
      </c>
      <c r="J17" s="158" t="s">
        <v>16</v>
      </c>
      <c r="K17" s="141">
        <v>1</v>
      </c>
      <c r="M17" s="6"/>
      <c r="N17" s="6"/>
      <c r="R17">
        <v>8</v>
      </c>
    </row>
    <row r="18" spans="1:18" x14ac:dyDescent="0.2">
      <c r="A18" s="14"/>
      <c r="D18" s="6"/>
      <c r="E18" s="300" t="s">
        <v>90</v>
      </c>
      <c r="F18" s="301"/>
      <c r="G18" s="16"/>
      <c r="H18" s="6"/>
      <c r="I18" s="156" t="s">
        <v>45</v>
      </c>
      <c r="J18" s="158" t="s">
        <v>18</v>
      </c>
      <c r="K18" s="141">
        <v>20</v>
      </c>
      <c r="M18" s="6"/>
      <c r="N18" s="6"/>
      <c r="R18">
        <v>8.5</v>
      </c>
    </row>
    <row r="19" spans="1:18" ht="15.75" thickBot="1" x14ac:dyDescent="0.25">
      <c r="E19" s="151" t="s">
        <v>122</v>
      </c>
      <c r="F19" s="246">
        <v>0</v>
      </c>
      <c r="I19" s="157"/>
      <c r="J19" s="159" t="s">
        <v>17</v>
      </c>
      <c r="K19" s="142">
        <v>160</v>
      </c>
      <c r="R19">
        <v>9</v>
      </c>
    </row>
    <row r="20" spans="1:18" x14ac:dyDescent="0.2">
      <c r="E20" s="151" t="s">
        <v>197</v>
      </c>
      <c r="F20" s="246">
        <v>1.2E-2</v>
      </c>
      <c r="R20">
        <v>9.5</v>
      </c>
    </row>
    <row r="21" spans="1:18" x14ac:dyDescent="0.2">
      <c r="E21" s="152" t="s">
        <v>123</v>
      </c>
      <c r="F21" s="247">
        <v>1.4999999999999999E-2</v>
      </c>
      <c r="R21">
        <v>10</v>
      </c>
    </row>
    <row r="22" spans="1:18" x14ac:dyDescent="0.2">
      <c r="E22" s="152" t="s">
        <v>195</v>
      </c>
      <c r="F22" s="247">
        <v>1.7000000000000001E-2</v>
      </c>
      <c r="R22">
        <v>10.5</v>
      </c>
    </row>
    <row r="23" spans="1:18" ht="15.75" thickBot="1" x14ac:dyDescent="0.25">
      <c r="E23" s="153" t="s">
        <v>194</v>
      </c>
      <c r="F23" s="248">
        <v>0</v>
      </c>
      <c r="R23">
        <v>11</v>
      </c>
    </row>
    <row r="24" spans="1:18" ht="15.75" thickBot="1" x14ac:dyDescent="0.25">
      <c r="E24" s="196"/>
      <c r="F24" s="197"/>
      <c r="R24">
        <v>11.5</v>
      </c>
    </row>
    <row r="25" spans="1:18" x14ac:dyDescent="0.2">
      <c r="E25" s="300" t="s">
        <v>158</v>
      </c>
      <c r="F25" s="301"/>
      <c r="R25">
        <v>12</v>
      </c>
    </row>
    <row r="26" spans="1:18" x14ac:dyDescent="0.2">
      <c r="E26" s="151" t="s">
        <v>122</v>
      </c>
      <c r="F26" s="246">
        <v>0.01</v>
      </c>
    </row>
    <row r="27" spans="1:18" x14ac:dyDescent="0.2">
      <c r="E27" s="151" t="s">
        <v>197</v>
      </c>
      <c r="F27" s="246">
        <v>2.1999999999999999E-2</v>
      </c>
    </row>
    <row r="28" spans="1:18" x14ac:dyDescent="0.2">
      <c r="E28" s="152" t="s">
        <v>123</v>
      </c>
      <c r="F28" s="247">
        <v>2.5000000000000001E-2</v>
      </c>
    </row>
    <row r="29" spans="1:18" x14ac:dyDescent="0.2">
      <c r="E29" s="152" t="s">
        <v>195</v>
      </c>
      <c r="F29" s="247">
        <v>2.7E-2</v>
      </c>
    </row>
    <row r="30" spans="1:18" ht="15.75" thickBot="1" x14ac:dyDescent="0.25">
      <c r="E30" s="153" t="s">
        <v>194</v>
      </c>
      <c r="F30" s="248">
        <v>0.01</v>
      </c>
    </row>
    <row r="31" spans="1:18" ht="15.75" thickBot="1" x14ac:dyDescent="0.25"/>
    <row r="32" spans="1:18" x14ac:dyDescent="0.2">
      <c r="E32" s="300" t="s">
        <v>183</v>
      </c>
      <c r="F32" s="301"/>
    </row>
    <row r="33" spans="1:14" x14ac:dyDescent="0.2">
      <c r="E33" s="151" t="s">
        <v>122</v>
      </c>
      <c r="F33" s="246">
        <v>5.0000000000000001E-3</v>
      </c>
    </row>
    <row r="34" spans="1:14" x14ac:dyDescent="0.2">
      <c r="E34" s="151" t="s">
        <v>197</v>
      </c>
      <c r="F34" s="246">
        <v>7.0000000000000001E-3</v>
      </c>
    </row>
    <row r="35" spans="1:14" x14ac:dyDescent="0.2">
      <c r="E35" s="152" t="s">
        <v>123</v>
      </c>
      <c r="F35" s="247">
        <v>4.0000000000000001E-3</v>
      </c>
    </row>
    <row r="36" spans="1:14" x14ac:dyDescent="0.2">
      <c r="E36" s="152" t="s">
        <v>195</v>
      </c>
      <c r="F36" s="247">
        <v>7.0000000000000001E-3</v>
      </c>
    </row>
    <row r="37" spans="1:14" ht="15.75" thickBot="1" x14ac:dyDescent="0.25">
      <c r="A37" s="14"/>
      <c r="E37" s="153" t="s">
        <v>194</v>
      </c>
      <c r="F37" s="248">
        <v>8.0000000000000002E-3</v>
      </c>
      <c r="G37" s="16"/>
      <c r="H37" s="6"/>
      <c r="I37" s="6"/>
      <c r="J37" s="6"/>
      <c r="K37" s="6"/>
      <c r="M37" s="6"/>
      <c r="N37" s="6"/>
    </row>
    <row r="38" spans="1:14" x14ac:dyDescent="0.2">
      <c r="A38" s="14"/>
      <c r="E38" s="252"/>
      <c r="F38" s="259"/>
      <c r="G38" s="16"/>
      <c r="H38" s="6"/>
      <c r="I38" s="6"/>
      <c r="J38" s="6"/>
      <c r="K38" s="6"/>
      <c r="M38" s="6"/>
      <c r="N38" s="6"/>
    </row>
    <row r="39" spans="1:14" x14ac:dyDescent="0.2">
      <c r="A39" s="14"/>
      <c r="B39" s="6"/>
      <c r="C39" s="260" t="s">
        <v>86</v>
      </c>
      <c r="D39" s="261"/>
      <c r="E39" s="262"/>
      <c r="G39" s="16"/>
      <c r="H39" s="6"/>
      <c r="I39" s="7"/>
      <c r="J39" s="6"/>
      <c r="K39" s="6"/>
      <c r="L39" s="6"/>
      <c r="M39" s="6"/>
      <c r="N39" s="6"/>
    </row>
    <row r="40" spans="1:14" x14ac:dyDescent="0.2">
      <c r="A40" s="14"/>
      <c r="B40" s="28">
        <v>1</v>
      </c>
      <c r="C40" s="6" t="s">
        <v>160</v>
      </c>
      <c r="G40" s="16"/>
      <c r="H40" s="6"/>
      <c r="I40" s="7"/>
      <c r="J40" s="6"/>
      <c r="K40" s="6"/>
      <c r="L40" s="6"/>
      <c r="M40" s="6"/>
      <c r="N40" s="6"/>
    </row>
    <row r="41" spans="1:14" x14ac:dyDescent="0.2">
      <c r="A41" s="14"/>
      <c r="B41" s="28">
        <v>2</v>
      </c>
      <c r="C41" s="6" t="s">
        <v>59</v>
      </c>
      <c r="F41" s="6"/>
      <c r="G41" s="16"/>
      <c r="H41" s="6"/>
      <c r="I41" s="7"/>
      <c r="J41" s="6"/>
      <c r="K41" s="6"/>
      <c r="L41" s="6"/>
      <c r="M41" s="6"/>
      <c r="N41" s="6"/>
    </row>
    <row r="42" spans="1:14" x14ac:dyDescent="0.2">
      <c r="A42" s="14"/>
      <c r="B42" s="28">
        <v>3</v>
      </c>
      <c r="C42" s="6" t="s">
        <v>58</v>
      </c>
      <c r="D42" s="6"/>
      <c r="E42" s="15"/>
      <c r="F42" s="6"/>
      <c r="G42" s="16"/>
      <c r="H42" s="6"/>
      <c r="I42" s="7"/>
      <c r="J42" s="6"/>
      <c r="K42" s="6"/>
      <c r="L42" s="6"/>
      <c r="M42" s="6"/>
      <c r="N42" s="6"/>
    </row>
    <row r="43" spans="1:14" x14ac:dyDescent="0.2">
      <c r="A43" s="14"/>
      <c r="B43" s="28">
        <v>4</v>
      </c>
      <c r="C43" s="6" t="s">
        <v>60</v>
      </c>
      <c r="D43" s="6"/>
      <c r="E43" s="15"/>
      <c r="F43" s="6"/>
      <c r="G43" s="16"/>
      <c r="H43" s="6"/>
      <c r="I43" s="7"/>
      <c r="J43" s="6"/>
      <c r="K43" s="6"/>
      <c r="L43" s="6"/>
      <c r="M43" s="6"/>
      <c r="N43" s="6"/>
    </row>
    <row r="44" spans="1:14" x14ac:dyDescent="0.2">
      <c r="A44" s="14"/>
      <c r="B44" s="28">
        <v>5</v>
      </c>
      <c r="C44" s="6" t="s">
        <v>61</v>
      </c>
      <c r="D44" s="6"/>
      <c r="E44" s="15"/>
      <c r="F44" s="6"/>
      <c r="G44" s="16"/>
      <c r="H44" s="6"/>
      <c r="I44" s="7"/>
      <c r="J44" s="6"/>
      <c r="K44" s="6"/>
      <c r="L44" s="6"/>
      <c r="M44" s="6"/>
      <c r="N44" s="6"/>
    </row>
    <row r="45" spans="1:14" x14ac:dyDescent="0.2">
      <c r="A45" s="14"/>
      <c r="B45" s="28">
        <v>6</v>
      </c>
      <c r="C45" s="6" t="s">
        <v>161</v>
      </c>
      <c r="D45" s="6"/>
      <c r="E45" s="15"/>
      <c r="F45" s="6"/>
      <c r="G45" s="16"/>
      <c r="H45" s="6"/>
      <c r="I45" s="7"/>
      <c r="J45" s="6"/>
      <c r="K45" s="6"/>
      <c r="L45" s="6"/>
      <c r="M45" s="6"/>
      <c r="N45" s="6"/>
    </row>
    <row r="46" spans="1:14" x14ac:dyDescent="0.2">
      <c r="A46" s="14"/>
      <c r="B46" s="6"/>
      <c r="C46" s="6"/>
      <c r="D46" s="6"/>
      <c r="E46" s="15"/>
      <c r="F46" s="6"/>
      <c r="G46" s="16"/>
      <c r="H46" s="6"/>
      <c r="I46" s="7"/>
      <c r="J46" s="6"/>
      <c r="K46" s="6"/>
      <c r="L46" s="6"/>
      <c r="M46" s="6"/>
      <c r="N46" s="6"/>
    </row>
    <row r="47" spans="1:14" x14ac:dyDescent="0.2">
      <c r="A47" s="6"/>
      <c r="B47" s="6"/>
      <c r="C47" s="6"/>
      <c r="D47" s="6"/>
      <c r="E47" s="15"/>
      <c r="F47" s="6"/>
      <c r="G47" s="6"/>
      <c r="H47" s="6"/>
      <c r="I47" s="6"/>
      <c r="J47" s="6"/>
      <c r="K47" s="6"/>
      <c r="L47" s="6"/>
      <c r="M47" s="6"/>
      <c r="N47" s="6"/>
    </row>
    <row r="48" spans="1:14" x14ac:dyDescent="0.2">
      <c r="A48" s="6"/>
      <c r="B48" s="6"/>
      <c r="C48" s="6"/>
      <c r="D48" s="6"/>
      <c r="E48" s="15"/>
      <c r="F48" s="6"/>
      <c r="G48" s="6"/>
      <c r="H48" s="6"/>
      <c r="I48" s="6"/>
      <c r="J48" s="6"/>
      <c r="K48" s="6"/>
      <c r="L48" s="6"/>
      <c r="M48" s="6"/>
      <c r="N48" s="6"/>
    </row>
    <row r="49" spans="1:8" x14ac:dyDescent="0.2">
      <c r="A49" s="6"/>
      <c r="B49" s="6"/>
      <c r="C49" s="6"/>
      <c r="D49" s="6"/>
      <c r="E49" s="15"/>
      <c r="F49" s="6"/>
      <c r="G49" s="6"/>
      <c r="H49" s="6"/>
    </row>
    <row r="50" spans="1:8" x14ac:dyDescent="0.2">
      <c r="A50" s="6"/>
      <c r="B50" s="6"/>
      <c r="C50" s="6"/>
      <c r="D50" s="6"/>
      <c r="E50" s="15"/>
      <c r="F50" s="6"/>
      <c r="G50" s="6"/>
      <c r="H50" s="6"/>
    </row>
    <row r="51" spans="1:8" x14ac:dyDescent="0.2">
      <c r="B51" s="6"/>
      <c r="C51" s="6"/>
      <c r="D51" s="6"/>
      <c r="E51" s="6"/>
      <c r="F51" s="6"/>
    </row>
    <row r="52" spans="1:8" x14ac:dyDescent="0.2">
      <c r="D52" s="6"/>
      <c r="E52" s="6"/>
      <c r="F52" s="6"/>
    </row>
    <row r="53" spans="1:8" x14ac:dyDescent="0.2">
      <c r="D53" s="6"/>
      <c r="E53" s="6"/>
      <c r="F53" s="6"/>
    </row>
    <row r="54" spans="1:8" x14ac:dyDescent="0.2">
      <c r="D54" s="6"/>
      <c r="E54" s="6"/>
    </row>
  </sheetData>
  <sheetProtection algorithmName="SHA-512" hashValue="h8DyYjyfbzq9IbqRQss3QW234kmEYbtVNLqbOUI4D48fomC9yAXWyshukm4xVNCWCx01KKGjJUXomkYFFZ8a4g==" saltValue="bX+p5RYpuM+KCwVnQlOcRQ==" spinCount="100000" sheet="1" objects="1" scenarios="1"/>
  <mergeCells count="7">
    <mergeCell ref="E32:F32"/>
    <mergeCell ref="E25:F25"/>
    <mergeCell ref="B5:C5"/>
    <mergeCell ref="B2:C2"/>
    <mergeCell ref="E2:F2"/>
    <mergeCell ref="E10:F10"/>
    <mergeCell ref="E18:F18"/>
  </mergeCells>
  <dataValidations disablePrompts="1" count="1">
    <dataValidation type="list" allowBlank="1" showInputMessage="1" showErrorMessage="1" sqref="L3:L14" xr:uid="{00000000-0002-0000-0300-000000000000}">
      <formula1>$J$17:$J$19</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2:D28"/>
  <sheetViews>
    <sheetView showGridLines="0" workbookViewId="0">
      <pane xSplit="1" ySplit="2" topLeftCell="B17" activePane="bottomRight" state="frozen"/>
      <selection pane="bottomLeft" activeCell="A3" sqref="A3"/>
      <selection pane="topRight" activeCell="B1" sqref="B1"/>
      <selection pane="bottomRight" activeCell="B22" sqref="B22"/>
    </sheetView>
  </sheetViews>
  <sheetFormatPr defaultRowHeight="15" x14ac:dyDescent="0.2"/>
  <cols>
    <col min="2" max="2" width="17.484375" customWidth="1"/>
    <col min="3" max="3" width="10.0859375" bestFit="1" customWidth="1"/>
    <col min="4" max="4" width="100.62109375" customWidth="1"/>
    <col min="14" max="14" width="10.0859375" bestFit="1" customWidth="1"/>
    <col min="15" max="15" width="48.83203125" customWidth="1"/>
  </cols>
  <sheetData>
    <row r="2" spans="2:4" x14ac:dyDescent="0.2">
      <c r="B2" s="185" t="s">
        <v>112</v>
      </c>
      <c r="C2" s="185" t="s">
        <v>111</v>
      </c>
      <c r="D2" s="185" t="s">
        <v>113</v>
      </c>
    </row>
    <row r="3" spans="2:4" ht="81" x14ac:dyDescent="0.2">
      <c r="B3" s="147" t="s">
        <v>110</v>
      </c>
      <c r="C3" s="148">
        <v>43958</v>
      </c>
      <c r="D3" s="144" t="s">
        <v>114</v>
      </c>
    </row>
    <row r="4" spans="2:4" x14ac:dyDescent="0.2">
      <c r="B4" s="147"/>
      <c r="C4" s="147"/>
    </row>
    <row r="5" spans="2:4" ht="41.25" x14ac:dyDescent="0.2">
      <c r="B5" s="147" t="s">
        <v>115</v>
      </c>
      <c r="C5" s="148">
        <v>43959</v>
      </c>
      <c r="D5" s="144" t="s">
        <v>116</v>
      </c>
    </row>
    <row r="6" spans="2:4" x14ac:dyDescent="0.2">
      <c r="B6" s="147"/>
      <c r="C6" s="148"/>
      <c r="D6" s="144"/>
    </row>
    <row r="7" spans="2:4" x14ac:dyDescent="0.2">
      <c r="B7" s="147" t="s">
        <v>117</v>
      </c>
      <c r="C7" s="148">
        <v>43966</v>
      </c>
      <c r="D7" t="s">
        <v>119</v>
      </c>
    </row>
    <row r="8" spans="2:4" x14ac:dyDescent="0.2">
      <c r="B8" s="147"/>
      <c r="C8" s="148"/>
    </row>
    <row r="9" spans="2:4" ht="54.75" x14ac:dyDescent="0.2">
      <c r="B9" s="147" t="s">
        <v>118</v>
      </c>
      <c r="C9" s="148">
        <v>43973</v>
      </c>
      <c r="D9" s="144" t="s">
        <v>129</v>
      </c>
    </row>
    <row r="10" spans="2:4" x14ac:dyDescent="0.2">
      <c r="B10" s="147" t="s">
        <v>130</v>
      </c>
      <c r="C10" s="148">
        <v>44113</v>
      </c>
      <c r="D10" s="144" t="s">
        <v>131</v>
      </c>
    </row>
    <row r="11" spans="2:4" ht="81" x14ac:dyDescent="0.2">
      <c r="B11" s="147" t="s">
        <v>134</v>
      </c>
      <c r="C11" s="148">
        <v>44174</v>
      </c>
      <c r="D11" s="144" t="s">
        <v>136</v>
      </c>
    </row>
    <row r="12" spans="2:4" x14ac:dyDescent="0.2">
      <c r="B12" s="147" t="s">
        <v>137</v>
      </c>
      <c r="C12" s="148">
        <v>44187</v>
      </c>
      <c r="D12" s="144" t="s">
        <v>138</v>
      </c>
    </row>
    <row r="13" spans="2:4" ht="81" x14ac:dyDescent="0.2">
      <c r="B13" s="147" t="s">
        <v>139</v>
      </c>
      <c r="C13" s="148">
        <v>44371</v>
      </c>
      <c r="D13" s="144" t="s">
        <v>140</v>
      </c>
    </row>
    <row r="14" spans="2:4" x14ac:dyDescent="0.2">
      <c r="B14" s="147" t="s">
        <v>141</v>
      </c>
      <c r="C14" s="148">
        <v>44656</v>
      </c>
      <c r="D14" s="144" t="s">
        <v>142</v>
      </c>
    </row>
    <row r="15" spans="2:4" ht="27.75" x14ac:dyDescent="0.2">
      <c r="B15" s="147" t="s">
        <v>143</v>
      </c>
      <c r="C15" s="148">
        <v>44824</v>
      </c>
      <c r="D15" s="144" t="s">
        <v>144</v>
      </c>
    </row>
    <row r="16" spans="2:4" ht="121.5" x14ac:dyDescent="0.2">
      <c r="B16" s="219" t="s">
        <v>149</v>
      </c>
      <c r="C16" s="148">
        <v>45006</v>
      </c>
      <c r="D16" s="144" t="s">
        <v>162</v>
      </c>
    </row>
    <row r="17" spans="2:4" ht="27.75" x14ac:dyDescent="0.2">
      <c r="B17" s="219" t="s">
        <v>163</v>
      </c>
      <c r="C17" s="148">
        <v>45033</v>
      </c>
      <c r="D17" s="144" t="s">
        <v>164</v>
      </c>
    </row>
    <row r="18" spans="2:4" x14ac:dyDescent="0.2">
      <c r="B18" s="219" t="s">
        <v>165</v>
      </c>
      <c r="C18" s="217">
        <v>45037</v>
      </c>
      <c r="D18" s="144" t="s">
        <v>174</v>
      </c>
    </row>
    <row r="19" spans="2:4" x14ac:dyDescent="0.2">
      <c r="B19" s="221" t="s">
        <v>185</v>
      </c>
      <c r="C19" s="222">
        <v>45077</v>
      </c>
      <c r="D19" s="223" t="s">
        <v>186</v>
      </c>
    </row>
    <row r="20" spans="2:4" x14ac:dyDescent="0.2">
      <c r="B20" s="219" t="s">
        <v>187</v>
      </c>
      <c r="C20" s="249">
        <v>45085</v>
      </c>
      <c r="D20" s="223" t="s">
        <v>188</v>
      </c>
    </row>
    <row r="21" spans="2:4" ht="27.75" x14ac:dyDescent="0.2">
      <c r="B21" s="219" t="s">
        <v>189</v>
      </c>
      <c r="C21" s="249">
        <v>45162</v>
      </c>
      <c r="D21" s="223" t="s">
        <v>190</v>
      </c>
    </row>
    <row r="22" spans="2:4" ht="81" x14ac:dyDescent="0.2">
      <c r="B22" s="224" t="s">
        <v>191</v>
      </c>
      <c r="C22" s="257">
        <v>45474</v>
      </c>
      <c r="D22" s="220" t="s">
        <v>200</v>
      </c>
    </row>
    <row r="23" spans="2:4" x14ac:dyDescent="0.2">
      <c r="D23" s="144"/>
    </row>
    <row r="24" spans="2:4" x14ac:dyDescent="0.2">
      <c r="D24" s="144"/>
    </row>
    <row r="25" spans="2:4" x14ac:dyDescent="0.2">
      <c r="D25" s="144"/>
    </row>
    <row r="26" spans="2:4" x14ac:dyDescent="0.2">
      <c r="D26" s="144"/>
    </row>
    <row r="27" spans="2:4" x14ac:dyDescent="0.2">
      <c r="D27" s="144"/>
    </row>
    <row r="28" spans="2:4" x14ac:dyDescent="0.2">
      <c r="D28" s="144"/>
    </row>
  </sheetData>
  <sheetProtection algorithmName="SHA-512" hashValue="fBLfotQCUDKKl04dL6KuHUW4/nBEXG08DwFN+1HxRU81vjjohNXFw69uF/MVPRldTve5J6Be2GMUzueiq/HVGw==" saltValue="ZglgW7JsvKdbxxix+UvJlA=="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K35"/>
  <sheetViews>
    <sheetView showGridLines="0" workbookViewId="0">
      <pane xSplit="1" ySplit="2" topLeftCell="B3" activePane="bottomRight" state="frozen"/>
      <selection pane="bottomLeft" activeCell="A3" sqref="A3"/>
      <selection pane="topRight" activeCell="B1" sqref="B1"/>
      <selection pane="bottomRight" activeCell="A2" sqref="A2"/>
    </sheetView>
  </sheetViews>
  <sheetFormatPr defaultRowHeight="15" x14ac:dyDescent="0.2"/>
  <cols>
    <col min="1" max="1" width="18.29296875" bestFit="1" customWidth="1"/>
    <col min="2" max="2" width="17.890625" bestFit="1" customWidth="1"/>
    <col min="3" max="3" width="17.484375" bestFit="1" customWidth="1"/>
    <col min="4" max="4" width="13.31640625" bestFit="1" customWidth="1"/>
    <col min="5" max="5" width="13.85546875" bestFit="1" customWidth="1"/>
    <col min="6" max="6" width="19.63671875" bestFit="1" customWidth="1"/>
    <col min="7" max="7" width="11.8359375" bestFit="1" customWidth="1"/>
    <col min="8" max="10" width="12.5078125" bestFit="1" customWidth="1"/>
    <col min="11" max="12" width="11.56640625" bestFit="1" customWidth="1"/>
  </cols>
  <sheetData>
    <row r="2" spans="1:11" x14ac:dyDescent="0.2">
      <c r="A2" s="190" t="s">
        <v>181</v>
      </c>
      <c r="B2" s="191"/>
      <c r="C2" t="s">
        <v>193</v>
      </c>
      <c r="G2" t="s">
        <v>82</v>
      </c>
    </row>
    <row r="3" spans="1:11" x14ac:dyDescent="0.2">
      <c r="A3" t="s">
        <v>177</v>
      </c>
      <c r="B3" t="s">
        <v>135</v>
      </c>
      <c r="C3" s="180">
        <v>17000</v>
      </c>
      <c r="D3" s="188">
        <f>C3/'Guidelines and Rules'!$C$3</f>
        <v>204.32692307692307</v>
      </c>
      <c r="E3" t="s">
        <v>177</v>
      </c>
      <c r="F3" t="s">
        <v>135</v>
      </c>
      <c r="G3" s="180">
        <v>0</v>
      </c>
      <c r="H3" s="180">
        <f>G3/'Guidelines and Rules'!$C$3</f>
        <v>0</v>
      </c>
      <c r="K3" s="180"/>
    </row>
    <row r="4" spans="1:11" x14ac:dyDescent="0.2">
      <c r="A4" t="s">
        <v>177</v>
      </c>
      <c r="B4" t="s">
        <v>2</v>
      </c>
      <c r="C4" s="180">
        <f>Inputs!C70</f>
        <v>17991.711538461539</v>
      </c>
      <c r="D4" s="188">
        <f>C4/'Guidelines and Rules'!$C$3</f>
        <v>216.2465329142012</v>
      </c>
      <c r="E4" t="s">
        <v>177</v>
      </c>
      <c r="F4" t="s">
        <v>2</v>
      </c>
      <c r="G4" s="180">
        <v>2000</v>
      </c>
      <c r="H4" s="180">
        <f>G4/'Guidelines and Rules'!$C$3</f>
        <v>24.038461538461537</v>
      </c>
      <c r="K4" s="180"/>
    </row>
    <row r="5" spans="1:11" x14ac:dyDescent="0.2">
      <c r="A5" t="s">
        <v>177</v>
      </c>
      <c r="B5" t="s">
        <v>3</v>
      </c>
      <c r="C5" s="180">
        <f>Inputs!C71</f>
        <v>30675.774532710278</v>
      </c>
      <c r="D5" s="188">
        <f>C5/'Guidelines and Rules'!$C$3</f>
        <v>368.699213133537</v>
      </c>
      <c r="E5" t="s">
        <v>177</v>
      </c>
      <c r="F5" t="s">
        <v>3</v>
      </c>
      <c r="G5" s="180">
        <v>2000</v>
      </c>
      <c r="H5" s="180">
        <f>G5/'Guidelines and Rules'!$C$3</f>
        <v>24.038461538461537</v>
      </c>
      <c r="K5" s="180"/>
    </row>
    <row r="6" spans="1:11" x14ac:dyDescent="0.2">
      <c r="A6" t="s">
        <v>177</v>
      </c>
      <c r="B6" t="s">
        <v>69</v>
      </c>
      <c r="C6" s="180">
        <f>Inputs!C72</f>
        <v>45527.947499999995</v>
      </c>
      <c r="D6" s="188">
        <f>C6/'Guidelines and Rules'!$C$3</f>
        <v>547.21090745192305</v>
      </c>
      <c r="E6" t="s">
        <v>177</v>
      </c>
      <c r="F6" t="s">
        <v>69</v>
      </c>
      <c r="G6" s="180">
        <v>2000</v>
      </c>
      <c r="H6" s="180">
        <f>G6/'Guidelines and Rules'!$C$3</f>
        <v>24.038461538461537</v>
      </c>
      <c r="K6" s="180"/>
    </row>
    <row r="7" spans="1:11" x14ac:dyDescent="0.2">
      <c r="A7" t="s">
        <v>177</v>
      </c>
      <c r="B7" t="s">
        <v>70</v>
      </c>
      <c r="C7" s="180">
        <f>Inputs!C73</f>
        <v>61681.200000000004</v>
      </c>
      <c r="D7" s="188">
        <f>C7/'Guidelines and Rules'!$C$3</f>
        <v>741.36057692307691</v>
      </c>
      <c r="E7" t="s">
        <v>177</v>
      </c>
      <c r="F7" t="s">
        <v>70</v>
      </c>
      <c r="G7" s="180">
        <v>3000</v>
      </c>
      <c r="H7" s="180">
        <f>G7/'Guidelines and Rules'!$C$3</f>
        <v>36.057692307692307</v>
      </c>
      <c r="K7" s="180"/>
    </row>
    <row r="8" spans="1:11" x14ac:dyDescent="0.2">
      <c r="A8" t="s">
        <v>177</v>
      </c>
      <c r="B8" t="s">
        <v>71</v>
      </c>
      <c r="C8" s="180">
        <f>Inputs!C74</f>
        <v>78660.539999999994</v>
      </c>
      <c r="D8" s="188">
        <f>C8/'Guidelines and Rules'!$C$3</f>
        <v>945.43918269230755</v>
      </c>
      <c r="E8" t="s">
        <v>177</v>
      </c>
      <c r="F8" t="s">
        <v>71</v>
      </c>
      <c r="G8" s="180">
        <v>3000</v>
      </c>
      <c r="H8" s="180">
        <f>G8/'Guidelines and Rules'!$C$3</f>
        <v>36.057692307692307</v>
      </c>
      <c r="K8" s="180"/>
    </row>
    <row r="9" spans="1:11" x14ac:dyDescent="0.2">
      <c r="A9" t="s">
        <v>177</v>
      </c>
      <c r="B9" t="s">
        <v>72</v>
      </c>
      <c r="C9" s="180">
        <f>Inputs!C75</f>
        <v>132417.18</v>
      </c>
      <c r="D9" s="188">
        <f>C9/'Guidelines and Rules'!$C$3</f>
        <v>1591.5526442307691</v>
      </c>
      <c r="E9" t="s">
        <v>177</v>
      </c>
      <c r="F9" t="s">
        <v>72</v>
      </c>
      <c r="G9" s="180">
        <v>0</v>
      </c>
      <c r="H9" s="180">
        <f>G9/'Guidelines and Rules'!$C$3</f>
        <v>0</v>
      </c>
      <c r="K9" s="180"/>
    </row>
    <row r="10" spans="1:11" x14ac:dyDescent="0.2">
      <c r="A10" t="s">
        <v>177</v>
      </c>
      <c r="B10" t="s">
        <v>73</v>
      </c>
      <c r="C10" s="180">
        <f>Inputs!C76</f>
        <v>171386.46</v>
      </c>
      <c r="D10" s="188">
        <f>C10/'Guidelines and Rules'!$C$3</f>
        <v>2059.9334134615383</v>
      </c>
      <c r="E10" t="s">
        <v>177</v>
      </c>
      <c r="F10" t="s">
        <v>73</v>
      </c>
      <c r="G10" s="180">
        <v>0</v>
      </c>
      <c r="H10" s="180">
        <f>G10/'Guidelines and Rules'!$C$3</f>
        <v>0</v>
      </c>
      <c r="K10" s="180"/>
    </row>
    <row r="11" spans="1:11" x14ac:dyDescent="0.2">
      <c r="A11" t="s">
        <v>177</v>
      </c>
      <c r="B11" t="s">
        <v>153</v>
      </c>
      <c r="C11" s="180"/>
    </row>
    <row r="12" spans="1:11" x14ac:dyDescent="0.2">
      <c r="A12" t="s">
        <v>177</v>
      </c>
      <c r="B12" t="s">
        <v>76</v>
      </c>
      <c r="C12" s="180"/>
    </row>
    <row r="13" spans="1:11" x14ac:dyDescent="0.2">
      <c r="A13" t="s">
        <v>177</v>
      </c>
      <c r="B13" t="s">
        <v>151</v>
      </c>
      <c r="C13" s="180"/>
    </row>
    <row r="14" spans="1:11" x14ac:dyDescent="0.2">
      <c r="A14" t="s">
        <v>178</v>
      </c>
      <c r="B14" t="s">
        <v>135</v>
      </c>
      <c r="C14" s="180">
        <f>C3</f>
        <v>17000</v>
      </c>
      <c r="D14" s="188">
        <f>C14/'Guidelines and Rules'!$C$3</f>
        <v>204.32692307692307</v>
      </c>
      <c r="E14" t="s">
        <v>178</v>
      </c>
      <c r="F14" t="s">
        <v>135</v>
      </c>
      <c r="G14" s="180">
        <v>0</v>
      </c>
      <c r="H14" s="180">
        <f>G14/'Guidelines and Rules'!$C$3</f>
        <v>0</v>
      </c>
    </row>
    <row r="15" spans="1:11" x14ac:dyDescent="0.2">
      <c r="A15" t="s">
        <v>178</v>
      </c>
      <c r="B15" t="s">
        <v>2</v>
      </c>
      <c r="C15" s="180">
        <f>Inputs!C81</f>
        <v>27829.767857142851</v>
      </c>
      <c r="D15" s="188">
        <f>C15/'Guidelines and Rules'!$C$3</f>
        <v>334.49240212912082</v>
      </c>
      <c r="E15" t="s">
        <v>178</v>
      </c>
      <c r="F15" t="s">
        <v>2</v>
      </c>
      <c r="G15" s="180">
        <v>3033</v>
      </c>
      <c r="H15" s="180">
        <f>G15/'Guidelines and Rules'!$C$3</f>
        <v>36.45432692307692</v>
      </c>
    </row>
    <row r="16" spans="1:11" x14ac:dyDescent="0.2">
      <c r="A16" t="s">
        <v>178</v>
      </c>
      <c r="B16" t="s">
        <v>3</v>
      </c>
      <c r="C16" s="180">
        <f>Inputs!C82</f>
        <v>53769.345779220785</v>
      </c>
      <c r="D16" s="188">
        <f>C16/'Guidelines and Rules'!$C$3</f>
        <v>646.26617523101902</v>
      </c>
      <c r="E16" t="s">
        <v>178</v>
      </c>
      <c r="F16" t="s">
        <v>3</v>
      </c>
      <c r="G16" s="180">
        <v>3033</v>
      </c>
      <c r="H16" s="180">
        <f>G16/'Guidelines and Rules'!$C$3</f>
        <v>36.45432692307692</v>
      </c>
    </row>
    <row r="17" spans="1:8" x14ac:dyDescent="0.2">
      <c r="A17" t="s">
        <v>178</v>
      </c>
      <c r="B17" t="s">
        <v>69</v>
      </c>
      <c r="C17" s="180">
        <f>Inputs!C83</f>
        <v>84860.243999999992</v>
      </c>
      <c r="D17" s="188">
        <f>C17/'Guidelines and Rules'!$C$3</f>
        <v>1019.9548557692307</v>
      </c>
      <c r="E17" t="s">
        <v>178</v>
      </c>
      <c r="F17" t="s">
        <v>69</v>
      </c>
      <c r="G17" s="180">
        <v>0</v>
      </c>
      <c r="H17" s="180">
        <f>G17/'Guidelines and Rules'!$C$3</f>
        <v>0</v>
      </c>
    </row>
    <row r="18" spans="1:8" x14ac:dyDescent="0.2">
      <c r="A18" t="s">
        <v>178</v>
      </c>
      <c r="B18" t="s">
        <v>70</v>
      </c>
      <c r="C18" s="180">
        <f>Inputs!C84</f>
        <v>96996.06</v>
      </c>
      <c r="D18" s="188">
        <f>C18/'Guidelines and Rules'!$C$3</f>
        <v>1165.8180288461538</v>
      </c>
      <c r="E18" t="s">
        <v>178</v>
      </c>
      <c r="F18" t="s">
        <v>70</v>
      </c>
      <c r="G18" s="180">
        <v>0</v>
      </c>
      <c r="H18" s="180">
        <f>G18/'Guidelines and Rules'!$C$3</f>
        <v>0</v>
      </c>
    </row>
    <row r="19" spans="1:8" x14ac:dyDescent="0.2">
      <c r="A19" t="s">
        <v>178</v>
      </c>
      <c r="B19" t="s">
        <v>71</v>
      </c>
      <c r="C19" s="180">
        <f>Inputs!C85</f>
        <v>134058.96</v>
      </c>
      <c r="D19" s="188">
        <f>C19/'Guidelines and Rules'!$C$3</f>
        <v>1611.2855769230769</v>
      </c>
      <c r="E19" t="s">
        <v>178</v>
      </c>
      <c r="F19" t="s">
        <v>71</v>
      </c>
      <c r="G19" s="180">
        <v>0</v>
      </c>
      <c r="H19" s="180">
        <f>G19/'Guidelines and Rules'!$C$3</f>
        <v>0</v>
      </c>
    </row>
    <row r="20" spans="1:8" x14ac:dyDescent="0.2">
      <c r="A20" t="s">
        <v>178</v>
      </c>
      <c r="B20" t="s">
        <v>72</v>
      </c>
      <c r="C20" s="180">
        <f>Inputs!C86</f>
        <v>189590.94</v>
      </c>
      <c r="D20" s="188">
        <f>C20/'Guidelines and Rules'!$C$3</f>
        <v>2278.7372596153846</v>
      </c>
      <c r="E20" t="s">
        <v>178</v>
      </c>
      <c r="F20" t="s">
        <v>72</v>
      </c>
      <c r="G20" s="180">
        <v>0</v>
      </c>
      <c r="H20" s="180">
        <f>G20/'Guidelines and Rules'!$C$3</f>
        <v>0</v>
      </c>
    </row>
    <row r="21" spans="1:8" x14ac:dyDescent="0.2">
      <c r="A21" t="s">
        <v>178</v>
      </c>
      <c r="B21" t="s">
        <v>73</v>
      </c>
      <c r="C21" s="180">
        <f>Inputs!C87</f>
        <v>206437.9</v>
      </c>
      <c r="D21" s="188">
        <f>C21/'Guidelines and Rules'!$C$3</f>
        <v>2481.2247596153843</v>
      </c>
      <c r="E21" t="s">
        <v>178</v>
      </c>
      <c r="F21" t="s">
        <v>73</v>
      </c>
      <c r="G21" s="180">
        <v>0</v>
      </c>
      <c r="H21" s="180">
        <f>G21/'Guidelines and Rules'!$C$3</f>
        <v>0</v>
      </c>
    </row>
    <row r="22" spans="1:8" x14ac:dyDescent="0.2">
      <c r="A22" t="s">
        <v>178</v>
      </c>
      <c r="B22" t="s">
        <v>153</v>
      </c>
      <c r="C22" s="180"/>
    </row>
    <row r="23" spans="1:8" x14ac:dyDescent="0.2">
      <c r="A23" t="s">
        <v>178</v>
      </c>
      <c r="B23" t="s">
        <v>76</v>
      </c>
      <c r="C23" s="180"/>
    </row>
    <row r="24" spans="1:8" x14ac:dyDescent="0.2">
      <c r="A24" t="s">
        <v>178</v>
      </c>
      <c r="B24" t="s">
        <v>151</v>
      </c>
      <c r="C24" s="180"/>
    </row>
    <row r="25" spans="1:8" x14ac:dyDescent="0.2">
      <c r="A25" t="s">
        <v>179</v>
      </c>
      <c r="B25" t="s">
        <v>135</v>
      </c>
      <c r="C25" s="180">
        <f>C14</f>
        <v>17000</v>
      </c>
      <c r="D25" s="188">
        <f>C25/'Guidelines and Rules'!$C$3</f>
        <v>204.32692307692307</v>
      </c>
      <c r="E25" t="s">
        <v>179</v>
      </c>
      <c r="F25" t="s">
        <v>135</v>
      </c>
    </row>
    <row r="26" spans="1:8" x14ac:dyDescent="0.2">
      <c r="A26" t="s">
        <v>179</v>
      </c>
      <c r="B26" t="s">
        <v>2</v>
      </c>
      <c r="C26" s="180">
        <f>Inputs!C92</f>
        <v>23571</v>
      </c>
      <c r="D26" s="188">
        <f>C26/'Guidelines and Rules'!$C$3</f>
        <v>283.30528846153845</v>
      </c>
      <c r="E26" t="s">
        <v>179</v>
      </c>
      <c r="F26" t="s">
        <v>2</v>
      </c>
    </row>
    <row r="27" spans="1:8" x14ac:dyDescent="0.2">
      <c r="A27" t="s">
        <v>179</v>
      </c>
      <c r="B27" t="s">
        <v>3</v>
      </c>
      <c r="C27" s="180">
        <f>Inputs!C93</f>
        <v>32293.5</v>
      </c>
      <c r="D27" s="188">
        <f>C27/'Guidelines and Rules'!$C$3</f>
        <v>388.14302884615381</v>
      </c>
      <c r="E27" t="s">
        <v>179</v>
      </c>
      <c r="F27" t="s">
        <v>3</v>
      </c>
    </row>
    <row r="28" spans="1:8" x14ac:dyDescent="0.2">
      <c r="A28" t="s">
        <v>179</v>
      </c>
      <c r="B28" t="s">
        <v>69</v>
      </c>
      <c r="C28" s="180">
        <f>Inputs!C94</f>
        <v>43915</v>
      </c>
      <c r="D28" s="188">
        <f>C28/'Guidelines and Rules'!$C$3</f>
        <v>527.82451923076917</v>
      </c>
      <c r="E28" t="s">
        <v>179</v>
      </c>
      <c r="F28" t="s">
        <v>69</v>
      </c>
    </row>
    <row r="29" spans="1:8" x14ac:dyDescent="0.2">
      <c r="A29" t="s">
        <v>179</v>
      </c>
      <c r="B29" t="s">
        <v>70</v>
      </c>
      <c r="C29" s="180">
        <f>Inputs!C95</f>
        <v>67467</v>
      </c>
      <c r="D29" s="188">
        <f>C29/'Guidelines and Rules'!$C$3</f>
        <v>810.90144230769226</v>
      </c>
      <c r="E29" t="s">
        <v>179</v>
      </c>
      <c r="F29" t="s">
        <v>70</v>
      </c>
    </row>
    <row r="30" spans="1:8" x14ac:dyDescent="0.2">
      <c r="A30" t="s">
        <v>179</v>
      </c>
      <c r="B30" t="s">
        <v>71</v>
      </c>
      <c r="C30" s="180">
        <f>Inputs!C96</f>
        <v>99987</v>
      </c>
      <c r="D30" s="188">
        <f>C30/'Guidelines and Rules'!$C$3</f>
        <v>1201.7668269230769</v>
      </c>
      <c r="E30" t="s">
        <v>179</v>
      </c>
      <c r="F30" t="s">
        <v>71</v>
      </c>
    </row>
    <row r="31" spans="1:8" x14ac:dyDescent="0.2">
      <c r="A31" t="s">
        <v>179</v>
      </c>
      <c r="B31" t="s">
        <v>72</v>
      </c>
      <c r="C31" s="180">
        <f>Inputs!C97</f>
        <v>127962</v>
      </c>
      <c r="D31" s="188">
        <f>C31/'Guidelines and Rules'!$C$3</f>
        <v>1538.0048076923076</v>
      </c>
      <c r="E31" t="s">
        <v>179</v>
      </c>
      <c r="F31" t="s">
        <v>72</v>
      </c>
    </row>
    <row r="32" spans="1:8" x14ac:dyDescent="0.2">
      <c r="A32" t="s">
        <v>179</v>
      </c>
      <c r="B32" t="s">
        <v>73</v>
      </c>
      <c r="C32" s="180">
        <f>Inputs!C98</f>
        <v>155937</v>
      </c>
      <c r="D32" s="188">
        <f>C32/'Guidelines and Rules'!$C$3</f>
        <v>1874.2427884615383</v>
      </c>
      <c r="E32" t="s">
        <v>179</v>
      </c>
      <c r="F32" t="s">
        <v>73</v>
      </c>
    </row>
    <row r="33" spans="1:3" x14ac:dyDescent="0.2">
      <c r="A33" t="s">
        <v>179</v>
      </c>
      <c r="B33" t="s">
        <v>153</v>
      </c>
      <c r="C33" s="188"/>
    </row>
    <row r="34" spans="1:3" x14ac:dyDescent="0.2">
      <c r="A34" t="s">
        <v>179</v>
      </c>
      <c r="B34" t="s">
        <v>76</v>
      </c>
      <c r="C34" s="188"/>
    </row>
    <row r="35" spans="1:3" x14ac:dyDescent="0.2">
      <c r="A35" t="s">
        <v>179</v>
      </c>
      <c r="B35" t="s">
        <v>151</v>
      </c>
      <c r="C35" s="180"/>
    </row>
  </sheetData>
  <sheetProtection algorithmName="SHA-512" hashValue="t8SwH+VEAJE3MuxhN+WbLyxHWWff3TRifyr54kfsq28+8BO7Mx15xZ5C/HIgoQVLIzieIm1YopGRsL/eUXYCiw==" saltValue="3i4nbg0EPxydPYjEr8YkSQ=="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6</vt:i4>
      </vt:variant>
    </vt:vector>
  </HeadingPairs>
  <TitlesOfParts>
    <vt:vector size="6" baseType="lpstr">
      <vt:lpstr>Deal Calculator</vt:lpstr>
      <vt:lpstr>Inputs</vt:lpstr>
      <vt:lpstr>Salary Calculator</vt:lpstr>
      <vt:lpstr>Guidelines and Rules</vt:lpstr>
      <vt:lpstr>Version Updates</vt:lpstr>
      <vt:lpstr>Personiv 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2024-12-06T15:39:36Z</dcterms:modified>
</cp:coreProperties>
</file>