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41F90129-A9B4-4A6C-8475-8249C4755979}" xr6:coauthVersionLast="47" xr6:coauthVersionMax="47" xr10:uidLastSave="{00000000-0000-0000-0000-000000000000}"/>
  <bookViews>
    <workbookView xWindow="-120" yWindow="-120" windowWidth="38640" windowHeight="21120" xr2:uid="{E5E85448-0EE4-4C61-B594-292693273E87}"/>
  </bookViews>
  <sheets>
    <sheet name="2025 redone carbon only" sheetId="3" r:id="rId1"/>
    <sheet name="c and chl to ww  vol" sheetId="1" r:id="rId2"/>
    <sheet name="cross checks conv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6" i="3" l="1"/>
  <c r="L62" i="3"/>
  <c r="D16" i="3" l="1"/>
  <c r="D21" i="3"/>
  <c r="H14" i="3"/>
  <c r="H15" i="3"/>
  <c r="H16" i="3"/>
  <c r="H17" i="3"/>
  <c r="H18" i="3"/>
  <c r="H19" i="3"/>
  <c r="H13" i="3"/>
  <c r="L6" i="2"/>
  <c r="J13" i="3"/>
  <c r="U26" i="3"/>
  <c r="V26" i="3"/>
  <c r="W26" i="3"/>
  <c r="X26" i="3"/>
  <c r="W25" i="3"/>
  <c r="X25" i="3"/>
  <c r="S26" i="3"/>
  <c r="S25" i="3"/>
  <c r="U19" i="3"/>
  <c r="T19" i="3"/>
  <c r="T26" i="3" s="1"/>
  <c r="F14" i="3"/>
  <c r="J14" i="3" s="1"/>
  <c r="F15" i="3"/>
  <c r="J15" i="3" s="1"/>
  <c r="F16" i="3"/>
  <c r="F17" i="3"/>
  <c r="J17" i="3" s="1"/>
  <c r="F18" i="3"/>
  <c r="J18" i="3" s="1"/>
  <c r="F19" i="3"/>
  <c r="J19" i="3" s="1"/>
  <c r="F13" i="3"/>
  <c r="Y18" i="3"/>
  <c r="X18" i="3"/>
  <c r="W18" i="3"/>
  <c r="V25" i="3" s="1"/>
  <c r="V18" i="3"/>
  <c r="U25" i="3" s="1"/>
  <c r="U18" i="3"/>
  <c r="T25" i="3" s="1"/>
  <c r="T18" i="3"/>
  <c r="S18" i="3"/>
  <c r="U4" i="3"/>
  <c r="S4" i="3"/>
  <c r="L16" i="2"/>
  <c r="H21" i="3" l="1"/>
  <c r="I14" i="3"/>
  <c r="I15" i="3"/>
  <c r="I16" i="3"/>
  <c r="I18" i="3"/>
  <c r="I19" i="3"/>
  <c r="I13" i="3"/>
  <c r="I17" i="3"/>
  <c r="J16" i="3"/>
  <c r="J21" i="3" s="1"/>
  <c r="S10" i="2"/>
  <c r="L7" i="2"/>
  <c r="L8" i="2"/>
  <c r="L9" i="2"/>
  <c r="L10" i="2"/>
  <c r="S8" i="2" s="1"/>
  <c r="L11" i="2"/>
  <c r="L12" i="2"/>
  <c r="S11" i="2" s="1"/>
  <c r="L13" i="2"/>
  <c r="S12" i="2" s="1"/>
  <c r="S9" i="2"/>
  <c r="L41" i="1"/>
  <c r="S7" i="2" l="1"/>
  <c r="S6" i="2"/>
  <c r="S13" i="2" s="1"/>
  <c r="L79" i="1"/>
  <c r="L73" i="1"/>
  <c r="L67" i="1"/>
  <c r="L62" i="1"/>
  <c r="L30" i="1"/>
  <c r="L24" i="1"/>
  <c r="L18" i="1"/>
  <c r="H31" i="2" l="1"/>
  <c r="M8" i="2"/>
  <c r="M7" i="2"/>
  <c r="N7" i="2" s="1"/>
  <c r="N67" i="1"/>
  <c r="N64" i="1"/>
  <c r="L23" i="1"/>
  <c r="P26" i="2"/>
  <c r="P31" i="2"/>
  <c r="E39" i="2"/>
  <c r="E40" i="2"/>
  <c r="E41" i="2"/>
  <c r="E42" i="2"/>
  <c r="E43" i="2"/>
  <c r="E44" i="2"/>
  <c r="E38" i="2"/>
  <c r="N12" i="2"/>
  <c r="P32" i="2"/>
  <c r="P28" i="2"/>
  <c r="N13" i="2"/>
  <c r="H27" i="2"/>
  <c r="H29" i="2"/>
  <c r="H30" i="2"/>
  <c r="H32" i="2"/>
  <c r="H33" i="2"/>
  <c r="K67" i="1"/>
  <c r="J67" i="1"/>
  <c r="H67" i="1"/>
  <c r="I67" i="1"/>
  <c r="N10" i="2"/>
  <c r="T8" i="2" s="1"/>
  <c r="M28" i="2" s="1"/>
  <c r="R28" i="2" s="1"/>
  <c r="F7" i="2"/>
  <c r="F6" i="2"/>
  <c r="G50" i="1"/>
  <c r="H47" i="1"/>
  <c r="H50" i="1" s="1"/>
  <c r="H46" i="1"/>
  <c r="J46" i="1" s="1"/>
  <c r="I47" i="1"/>
  <c r="I50" i="1" s="1"/>
  <c r="I46" i="1"/>
  <c r="N9" i="2"/>
  <c r="T6" i="2" s="1"/>
  <c r="M26" i="2" s="1"/>
  <c r="N11" i="2"/>
  <c r="T10" i="2" s="1"/>
  <c r="M30" i="2" s="1"/>
  <c r="H78" i="1"/>
  <c r="J78" i="1" s="1"/>
  <c r="H77" i="1"/>
  <c r="G79" i="1"/>
  <c r="I78" i="1"/>
  <c r="I77" i="1"/>
  <c r="H72" i="1"/>
  <c r="J72" i="1" s="1"/>
  <c r="H71" i="1"/>
  <c r="H66" i="1"/>
  <c r="J66" i="1" s="1"/>
  <c r="H65" i="1"/>
  <c r="J65" i="1" s="1"/>
  <c r="H61" i="1"/>
  <c r="J61" i="1" s="1"/>
  <c r="H60" i="1"/>
  <c r="G73" i="1"/>
  <c r="I72" i="1"/>
  <c r="I71" i="1"/>
  <c r="G67" i="1"/>
  <c r="I66" i="1"/>
  <c r="I65" i="1"/>
  <c r="I61" i="1"/>
  <c r="I60" i="1"/>
  <c r="G62" i="1"/>
  <c r="G30" i="1"/>
  <c r="I29" i="1"/>
  <c r="I28" i="1"/>
  <c r="H29" i="1"/>
  <c r="J29" i="1" s="1"/>
  <c r="H28" i="1"/>
  <c r="G24" i="1"/>
  <c r="I23" i="1"/>
  <c r="I22" i="1"/>
  <c r="H23" i="1"/>
  <c r="J23" i="1" s="1"/>
  <c r="H22" i="1"/>
  <c r="J22" i="1" s="1"/>
  <c r="I15" i="1"/>
  <c r="I14" i="1"/>
  <c r="I9" i="1"/>
  <c r="I56" i="1"/>
  <c r="I55" i="1"/>
  <c r="I38" i="1"/>
  <c r="I37" i="1"/>
  <c r="H56" i="1"/>
  <c r="J56" i="1" s="1"/>
  <c r="H55" i="1"/>
  <c r="J55" i="1" s="1"/>
  <c r="G94" i="1"/>
  <c r="G96" i="1" s="1"/>
  <c r="J96" i="1" s="1"/>
  <c r="J97" i="1" s="1"/>
  <c r="J98" i="1" s="1"/>
  <c r="G98" i="1"/>
  <c r="O26" i="2" l="1"/>
  <c r="Q26" i="2" s="1"/>
  <c r="T12" i="2"/>
  <c r="M32" i="2" s="1"/>
  <c r="R32" i="2" s="1"/>
  <c r="R26" i="2"/>
  <c r="T11" i="2"/>
  <c r="M31" i="2" s="1"/>
  <c r="R31" i="2" s="1"/>
  <c r="J47" i="1"/>
  <c r="H28" i="2"/>
  <c r="P30" i="2"/>
  <c r="R30" i="2" s="1"/>
  <c r="P27" i="2"/>
  <c r="K16" i="2"/>
  <c r="N8" i="2"/>
  <c r="O30" i="2"/>
  <c r="O28" i="2"/>
  <c r="Q28" i="2" s="1"/>
  <c r="F10" i="2"/>
  <c r="G7" i="2" s="1"/>
  <c r="K46" i="1"/>
  <c r="L46" i="1" s="1"/>
  <c r="H79" i="1"/>
  <c r="I79" i="1"/>
  <c r="K78" i="1"/>
  <c r="L78" i="1" s="1"/>
  <c r="J77" i="1"/>
  <c r="I73" i="1"/>
  <c r="K72" i="1"/>
  <c r="L72" i="1" s="1"/>
  <c r="H73" i="1"/>
  <c r="H62" i="1"/>
  <c r="J71" i="1"/>
  <c r="K61" i="1"/>
  <c r="L61" i="1" s="1"/>
  <c r="I62" i="1"/>
  <c r="K66" i="1"/>
  <c r="L66" i="1" s="1"/>
  <c r="K65" i="1"/>
  <c r="L65" i="1" s="1"/>
  <c r="I24" i="1"/>
  <c r="K29" i="1"/>
  <c r="L29" i="1" s="1"/>
  <c r="J60" i="1"/>
  <c r="I30" i="1"/>
  <c r="K23" i="1"/>
  <c r="H30" i="1"/>
  <c r="J28" i="1"/>
  <c r="K22" i="1"/>
  <c r="L22" i="1" s="1"/>
  <c r="J24" i="1"/>
  <c r="H24" i="1"/>
  <c r="K56" i="1"/>
  <c r="K55" i="1"/>
  <c r="L55" i="1" s="1"/>
  <c r="G99" i="1"/>
  <c r="G100" i="1" s="1"/>
  <c r="O32" i="2" l="1"/>
  <c r="Q32" i="2" s="1"/>
  <c r="O31" i="2"/>
  <c r="Q31" i="2" s="1"/>
  <c r="Q30" i="2"/>
  <c r="T7" i="2"/>
  <c r="K47" i="1"/>
  <c r="J50" i="1"/>
  <c r="L56" i="1"/>
  <c r="L57" i="1" s="1"/>
  <c r="K57" i="1"/>
  <c r="M6" i="2" s="1"/>
  <c r="N6" i="2" s="1"/>
  <c r="N16" i="2" s="1"/>
  <c r="G6" i="2"/>
  <c r="K77" i="1"/>
  <c r="J79" i="1"/>
  <c r="K71" i="1"/>
  <c r="J73" i="1"/>
  <c r="K24" i="1"/>
  <c r="K60" i="1"/>
  <c r="J62" i="1"/>
  <c r="K28" i="1"/>
  <c r="J30" i="1"/>
  <c r="G101" i="1"/>
  <c r="M27" i="2" l="1"/>
  <c r="R18" i="2"/>
  <c r="L47" i="1"/>
  <c r="L50" i="1" s="1"/>
  <c r="K50" i="1"/>
  <c r="H26" i="2"/>
  <c r="H35" i="2" s="1"/>
  <c r="P29" i="2"/>
  <c r="L77" i="1"/>
  <c r="K79" i="1"/>
  <c r="L71" i="1"/>
  <c r="K73" i="1"/>
  <c r="L60" i="1"/>
  <c r="K62" i="1"/>
  <c r="K30" i="1"/>
  <c r="L28" i="1"/>
  <c r="R27" i="2" l="1"/>
  <c r="O27" i="2"/>
  <c r="Q27" i="2" s="1"/>
  <c r="O13" i="2"/>
  <c r="U12" i="2" s="1"/>
  <c r="T9" i="2"/>
  <c r="M29" i="2" s="1"/>
  <c r="R29" i="2" s="1"/>
  <c r="O9" i="2"/>
  <c r="U6" i="2" s="1"/>
  <c r="O8" i="2"/>
  <c r="O11" i="2"/>
  <c r="U10" i="2" s="1"/>
  <c r="O10" i="2"/>
  <c r="U8" i="2" s="1"/>
  <c r="U26" i="2" l="1"/>
  <c r="U25" i="2"/>
  <c r="U27" i="2" s="1"/>
  <c r="R35" i="2"/>
  <c r="M34" i="2"/>
  <c r="O29" i="2"/>
  <c r="T18" i="2"/>
  <c r="T13" i="2"/>
  <c r="O12" i="2"/>
  <c r="U11" i="2" s="1"/>
  <c r="O6" i="2"/>
  <c r="O7" i="2"/>
  <c r="U7" i="2" s="1"/>
  <c r="H108" i="1"/>
  <c r="G114" i="1" s="1"/>
  <c r="G117" i="1" s="1"/>
  <c r="H107" i="1"/>
  <c r="G115" i="1" s="1"/>
  <c r="G118" i="1" s="1"/>
  <c r="G18" i="1"/>
  <c r="G41" i="1"/>
  <c r="I41" i="1" s="1"/>
  <c r="H38" i="1"/>
  <c r="J38" i="1" s="1"/>
  <c r="K38" i="1" s="1"/>
  <c r="L38" i="1" s="1"/>
  <c r="H37" i="1"/>
  <c r="J37" i="1" s="1"/>
  <c r="H15" i="1"/>
  <c r="J15" i="1" s="1"/>
  <c r="H14" i="1"/>
  <c r="J14" i="1" s="1"/>
  <c r="O35" i="2" l="1"/>
  <c r="Q29" i="2"/>
  <c r="Q35" i="2" s="1"/>
  <c r="U9" i="2"/>
  <c r="U13" i="2" s="1"/>
  <c r="O14" i="2"/>
  <c r="I18" i="1"/>
  <c r="K14" i="1"/>
  <c r="L14" i="1" s="1"/>
  <c r="K37" i="1"/>
  <c r="L37" i="1" s="1"/>
  <c r="K15" i="1"/>
  <c r="L15" i="1" s="1"/>
  <c r="J18" i="1"/>
  <c r="H18" i="1"/>
  <c r="H41" i="1"/>
  <c r="Q38" i="2" l="1"/>
  <c r="Q37" i="2"/>
  <c r="J41" i="1"/>
  <c r="K41" i="1" s="1"/>
  <c r="K18" i="1"/>
</calcChain>
</file>

<file path=xl/sharedStrings.xml><?xml version="1.0" encoding="utf-8"?>
<sst xmlns="http://schemas.openxmlformats.org/spreadsheetml/2006/main" count="301" uniqueCount="179">
  <si>
    <t>Basic</t>
  </si>
  <si>
    <t>picogram</t>
  </si>
  <si>
    <t>cubic meter seawater</t>
  </si>
  <si>
    <t>kg seawater</t>
  </si>
  <si>
    <t>General dinoflagellate equation (Fig. 3 in Menden-Deuer &amp; Lessard, 2000)</t>
  </si>
  <si>
    <t>Min cell vol dinos (um^3 i.e., pg)</t>
  </si>
  <si>
    <t>max cell vol dinos  (um^3 i.e., pg)</t>
  </si>
  <si>
    <t>total pg / Cell</t>
  </si>
  <si>
    <t>total pg C / Cell</t>
  </si>
  <si>
    <t>% Carbon</t>
  </si>
  <si>
    <t>Conversion factor (C to WW)</t>
  </si>
  <si>
    <t>General diatoms equation (Tab. 2, Strathman, 1967)</t>
  </si>
  <si>
    <t xml:space="preserve">not using this yet - phyto are buoyant so using freshwater density </t>
  </si>
  <si>
    <t>assume conversion to total mass based on mass of equiv vol of freshwater</t>
  </si>
  <si>
    <t>max cell vol diatoms (um^3 i.e., pg)</t>
  </si>
  <si>
    <t>min cell vol diatoms (um^3 i.e., pg)</t>
  </si>
  <si>
    <t>cubic micrometer water</t>
  </si>
  <si>
    <t>min cell vol (um^3 i.e., pg)</t>
  </si>
  <si>
    <t>max cell vol (um^3 i.e., pg)</t>
  </si>
  <si>
    <t>pg / cell</t>
  </si>
  <si>
    <t>Skeletenoma costatum</t>
  </si>
  <si>
    <t>diatoms</t>
  </si>
  <si>
    <t>max cell Chl_a (pg)</t>
  </si>
  <si>
    <t xml:space="preserve">min cell Chl_a (pg) </t>
  </si>
  <si>
    <t>(Fig. 2 in Strathman, 1967)</t>
  </si>
  <si>
    <t>(Fig 1, Hitchcock, 1980)</t>
  </si>
  <si>
    <t xml:space="preserve">min Chl_a % </t>
  </si>
  <si>
    <t>max Chl_a %</t>
  </si>
  <si>
    <t>max conversion Chl:WW</t>
  </si>
  <si>
    <t>min conversion Chl:WW</t>
  </si>
  <si>
    <t>didn't work</t>
  </si>
  <si>
    <t xml:space="preserve">this is not easy to rearrange but it evaluates to: </t>
  </si>
  <si>
    <t>x = 381.8*y^1.09</t>
  </si>
  <si>
    <t>mg m^2</t>
  </si>
  <si>
    <t>diatom B %</t>
  </si>
  <si>
    <t>evaluated pg chloro / cell</t>
  </si>
  <si>
    <t># diatom cells</t>
  </si>
  <si>
    <t>chlorophyll depth int  (mg m2; see phyto text writeup)</t>
  </si>
  <si>
    <t>chl (pg m2)</t>
  </si>
  <si>
    <t>diatom chl pg m2</t>
  </si>
  <si>
    <t>total diatom B (pg or um3 / m2)</t>
  </si>
  <si>
    <t>total diatom B (g m-2)</t>
  </si>
  <si>
    <t>assumed avg vol diatom cell (um^3 = pg)</t>
  </si>
  <si>
    <t>didn't work! Evaluates way too low</t>
  </si>
  <si>
    <t>C:chl_a</t>
  </si>
  <si>
    <t>carbon to wet weight</t>
  </si>
  <si>
    <t>total diatom B (C pg)</t>
  </si>
  <si>
    <t>total diatom B (WW pg)</t>
  </si>
  <si>
    <t>diatom B (g m-2)</t>
  </si>
  <si>
    <t xml:space="preserve">alternate model </t>
  </si>
  <si>
    <t>Chlorophyll a conversions (C:Chl should be 10 - 120 see Burt et al.., 2018)</t>
  </si>
  <si>
    <t>diatoms equation #2 (Table 4. Menden-Deuer &amp; Lessard, 2000)</t>
  </si>
  <si>
    <t>min</t>
  </si>
  <si>
    <t>max</t>
  </si>
  <si>
    <t>log10(pg C / cell)</t>
  </si>
  <si>
    <t>Menden-Deuer, S., &amp; Lessard, E. J. (2000). Carbon to volume relationships for dinoflagellates, diatoms, and other protist plankton. Limnolog10y and Oceanography, 45(3), 569–579. https://doi.org/10.4319/lo.2000.45.3.0569</t>
  </si>
  <si>
    <t>Strathmann, R. R. (1967). Estimating the Organic Carbon Content of Phytoplankton from Cell Volume or Plasma Volume1. Limnolog10y and Oceanography, 12(3), 411–418. https://doi.org/10.4319/lo.1967.12.3.0411</t>
  </si>
  <si>
    <t>log10 (pg C /Cell) = -0.119 + 0.819 log10(total um^3 vol /Cell)</t>
  </si>
  <si>
    <t>log10 (pg C /Cell) = -0.119 + 0.819 log10(total pg /Cell)</t>
  </si>
  <si>
    <t>log10(total pg /Cell)</t>
  </si>
  <si>
    <t>avg log10(total pg / Cell)</t>
  </si>
  <si>
    <t>log10 (pg C / Cell) = -0.610 + 0.758 log10 (um^3 / Cell)</t>
  </si>
  <si>
    <t>log10 (pg C / Cell) = -0.610 + 0.758 log10 (pg / Cell)</t>
  </si>
  <si>
    <t>log10(total um^3 aka pg /Cell)</t>
  </si>
  <si>
    <t>avg log10(total / pg /Cell)</t>
  </si>
  <si>
    <t>log10 (pg C / cell) = -0.541 + 0.811 log10 (um^3 / Cell)</t>
  </si>
  <si>
    <t>Montagnes, D. J. S., Berges, J. A., Harrison, P. J., &amp; Taylor, F. J. R. (1994). Estimating carbon, nitrogen, protein, and chlorophyll a from volume in marine phytoplankton. Limnolog10y and Oceanography, 39(5), 1044–1060. https://doi.org/10.4319/lo.1994.39.5.1044</t>
  </si>
  <si>
    <t>Figure 7 log10-log10 linear relationship (y) = 0.00429(x)^0.917 where y = Chl content / cell (pg) and x = cell volume (um^3)</t>
  </si>
  <si>
    <t>Hitchcock, G. L. (1980). Diel variation in chlorophyll a, carbohydrate and protein content of the marine diatom Skeletonema costatum. Marine Biolog10y, 57(4), 271–278. https://doi.org/10.1007/BF00387570</t>
  </si>
  <si>
    <t xml:space="preserve">log10 (pg / Cell) </t>
  </si>
  <si>
    <t>heterotrophic dinos (Table 3. Menden-Deuer &amp; Lessard, 2000)</t>
  </si>
  <si>
    <t>log10 (pg C / Cell) = -0.547 + 0.9 log10 (um^3 / Cell)</t>
  </si>
  <si>
    <t>avg</t>
  </si>
  <si>
    <t>phototrophic dinos (Table 3. Menden-Deuer &amp; Lessard, 2000)</t>
  </si>
  <si>
    <t>log10 (pg C / Cell) = -0.076 + 0.817 log10 (um^3 / 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</si>
  <si>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chlorophyte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</si>
  <si>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chrysophyte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</si>
  <si>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prasinophyte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</si>
  <si>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-0.545 + 0.886 log10(pg/Cell)</t>
  </si>
  <si>
    <t>log10(pg C / cell) = -1.694 + 1.218 og10(pg/Cell)</t>
  </si>
  <si>
    <t>log10(pg C / cell) = -1.026 + 1.088 log10(pg/Cell)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</si>
  <si>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Prymnesiophytes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</si>
  <si>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-0.642 + 0.899 log10(pg/Cell)</t>
  </si>
  <si>
    <t>avg conversion</t>
  </si>
  <si>
    <t>avg carbon %</t>
  </si>
  <si>
    <t>group</t>
  </si>
  <si>
    <t>hetero micro dino</t>
  </si>
  <si>
    <t>auto micro dino</t>
  </si>
  <si>
    <t>ciliates micro</t>
  </si>
  <si>
    <t>nano pp</t>
  </si>
  <si>
    <t>pico pp</t>
  </si>
  <si>
    <t>bacter</t>
  </si>
  <si>
    <t>conversion factor C:WW</t>
  </si>
  <si>
    <t>total C assumed</t>
  </si>
  <si>
    <t>g c m-2</t>
  </si>
  <si>
    <t>g C m-2</t>
  </si>
  <si>
    <t>% of biomass assumed</t>
  </si>
  <si>
    <t>% of micro dino hetero</t>
  </si>
  <si>
    <t>% WW</t>
  </si>
  <si>
    <t>General 'other plankton' equation (Tab. 2, Strathman, 1967)</t>
  </si>
  <si>
    <t>log10 (pg C / Cell) = -0.46+ 0.866 log10 (um^3 / Cell)</t>
  </si>
  <si>
    <t xml:space="preserve">other </t>
  </si>
  <si>
    <t>WW</t>
  </si>
  <si>
    <t>% of C biomass assumed</t>
  </si>
  <si>
    <t>hnf</t>
  </si>
  <si>
    <t>Ecopath model check</t>
  </si>
  <si>
    <t>sum of all production</t>
  </si>
  <si>
    <t>Production should be 200 - 400 mt C km-2 year-1</t>
  </si>
  <si>
    <t>model production should be</t>
  </si>
  <si>
    <t>PZ2-DIN</t>
  </si>
  <si>
    <t>PZ3-HNF</t>
  </si>
  <si>
    <t>P1-DIA</t>
  </si>
  <si>
    <t>P2-NAN</t>
  </si>
  <si>
    <t>P3-PIC</t>
  </si>
  <si>
    <t>B1-Bact</t>
  </si>
  <si>
    <t>p_prim</t>
  </si>
  <si>
    <t>carbon conversion</t>
  </si>
  <si>
    <t>crosss-checks</t>
  </si>
  <si>
    <t>PZ1-CIL</t>
  </si>
  <si>
    <t>total production G C m-2</t>
  </si>
  <si>
    <t>p/b</t>
  </si>
  <si>
    <t>b</t>
  </si>
  <si>
    <t>p prod</t>
  </si>
  <si>
    <t>heter prod</t>
  </si>
  <si>
    <t>hetero prop prod</t>
  </si>
  <si>
    <t>hetero prop biomass</t>
  </si>
  <si>
    <t>bacterial prod prop</t>
  </si>
  <si>
    <t>conversion factor C-&gt;WW</t>
  </si>
  <si>
    <t>total pp year (WW t)</t>
  </si>
  <si>
    <t>* avg conversion factor should be average of log10(pg C / cell) / log10(pg / cell) based on figures in Menden-Deuer &amp; Lessard 2000, thus taking average of the ratio i.e., average of the conversion factor</t>
  </si>
  <si>
    <t>PP1-DIA</t>
  </si>
  <si>
    <t>PP2-NAN</t>
  </si>
  <si>
    <t>PP3-PIC</t>
  </si>
  <si>
    <t>BA1-BAC</t>
  </si>
  <si>
    <t>rearranged</t>
  </si>
  <si>
    <t>totals</t>
  </si>
  <si>
    <t>Carbon g m2</t>
  </si>
  <si>
    <t>WW mt km2</t>
  </si>
  <si>
    <t>B (carb)</t>
  </si>
  <si>
    <t>B (WW)</t>
  </si>
  <si>
    <t>Total</t>
  </si>
  <si>
    <t>DIN / (DIN + CIL)</t>
  </si>
  <si>
    <t>wasmund 2017</t>
  </si>
  <si>
    <t>sherr and sherr 2007</t>
  </si>
  <si>
    <t>DIA / (DIA + DIN)</t>
  </si>
  <si>
    <t>mean PP P/B (biomass weight)</t>
  </si>
  <si>
    <t>should be 43 - 86 yr</t>
  </si>
  <si>
    <t>Model Phyto and Mixo</t>
  </si>
  <si>
    <t>treatment</t>
  </si>
  <si>
    <t>rough mcewan</t>
  </si>
  <si>
    <t>Groups</t>
  </si>
  <si>
    <t>Simplying the other messy spreadsheet</t>
  </si>
  <si>
    <t>B (g C m-2)</t>
  </si>
  <si>
    <t>McEwan, Nicole, Rich Pawlowicz, Evgeny Pakhomov, and Maria T. Maldonado. “Seasonality of Modelled Planktonic Food Web Structure in the Strait of Georgia, Canada.” Ecological Modelling 482 (August 2023): 110402. https://doi.org/10.1016/j.ecolmodel.2023.110402.</t>
  </si>
  <si>
    <t>McEwan created three seasonal models, omitting Fall. I therefore digitised and used the raw survey data which did indicate biomass a bit higher (it includes some fall samples)</t>
  </si>
  <si>
    <t>model</t>
  </si>
  <si>
    <t>C:\Users\Greig\Sync\6. SSMSP Model\Model Greig\Data\28. Phytoplankton\PhytoplanktonCommunity_McEwanSupp2023_\MODIFIED</t>
  </si>
  <si>
    <t>REFERENCE STANDING STOCK PHYO B</t>
  </si>
  <si>
    <t>PB (yr-1)</t>
  </si>
  <si>
    <t>PB (3-day^-1)</t>
  </si>
  <si>
    <t>McEwan model and data</t>
  </si>
  <si>
    <t>from average of seasonal models</t>
  </si>
  <si>
    <t>PZ2-PZ3-DIN</t>
  </si>
  <si>
    <t>For figure, combining PZ2 and PZ3, since reference doesn't differentiate</t>
  </si>
  <si>
    <t>comparison</t>
  </si>
  <si>
    <t>Metrics I decided not to use</t>
  </si>
  <si>
    <t>Model Baseline</t>
  </si>
  <si>
    <t>PP % Mixotrophy</t>
  </si>
  <si>
    <t>Annual PP</t>
  </si>
  <si>
    <t>my initial estimate was substantially lower than McEwans</t>
  </si>
  <si>
    <t>Being the main empirical and modelled dataset for comparison, I adjusted the estimate</t>
  </si>
  <si>
    <t>Initially I adjusted DIA B from 1.57 to 3 but the annualised PP was very high (McEwans is even higher)</t>
  </si>
  <si>
    <t xml:space="preserve">I therefore justified reducing DIA B to 2.307 after noting that the C:Chl-a of 50 was used for all groups in McEwan when converting from chemtax HPLC </t>
  </si>
  <si>
    <t>Based on Burt et al (2018) the true DIA C:Chl-a would be closer to 40 and thus 50 is 1.25x the 'true' value</t>
  </si>
  <si>
    <t>Thus I reduced from 3 gC m-2 to 2.307 using 3  / 1.25</t>
  </si>
  <si>
    <t>fr supp fig</t>
  </si>
  <si>
    <t>% of total B PP</t>
  </si>
  <si>
    <t>Total B PP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</si>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</sst>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2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wrapText="1"/>
    </xf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67" fontId="0" fillId="0" borderId="0" xfId="3" applyNumberFormat="1" applyFont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2" fillId="0" borderId="0" xfId="3" applyNumberFormat="1" applyFont="1" applyAlignment="1">
      <alignment horizontal="center"/>
    </xf>
    <xf numFmtId="167" fontId="1" fillId="0" borderId="0" xfId="3" applyNumberFormat="1" applyFont="1" applyAlignment="1"/>
    <xf numFmtId="9" fontId="2" fillId="0" borderId="0" xfId="1" applyFont="1" applyAlignment="1">
      <alignment horizontal="center"/>
    </xf>
    <xf numFmtId="168" fontId="0" fillId="0" borderId="0" xfId="3" applyNumberFormat="1" applyFont="1"/>
    <xf numFmtId="166" fontId="0" fillId="0" borderId="0" xfId="1" applyNumberFormat="1" applyFont="1"/>
    <xf numFmtId="10" fontId="0" fillId="0" borderId="0" xfId="1" applyNumberFormat="1" applyFont="1"/>
    <xf numFmtId="168" fontId="0" fillId="0" borderId="0" xfId="0" applyNumberFormat="1"/>
    <xf numFmtId="10" fontId="0" fillId="0" borderId="0" xfId="0" applyNumberFormat="1"/>
    <xf numFmtId="166" fontId="0" fillId="0" borderId="0" xfId="0" applyNumberFormat="1"/>
    <xf numFmtId="169" fontId="2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with McEwan's data and model averages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'2025 redone carbon only'!$S$24</c:f>
              <c:strCache>
                <c:ptCount val="1"/>
                <c:pt idx="0">
                  <c:v>PZ1-CIL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only'!$S$25:$S$26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319-8AE6-DEEAE021382E}"/>
            </c:ext>
          </c:extLst>
        </c:ser>
        <c:ser>
          <c:idx val="1"/>
          <c:order val="1"/>
          <c:tx>
            <c:strRef>
              <c:f>'2025 redone carbon only'!$T$24</c:f>
              <c:strCache>
                <c:ptCount val="1"/>
                <c:pt idx="0">
                  <c:v>PZ2-PZ3-DIN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only'!$T$25:$T$26</c:f>
              <c:numCache>
                <c:formatCode>General</c:formatCode>
                <c:ptCount val="2"/>
                <c:pt idx="0">
                  <c:v>1.33</c:v>
                </c:pt>
                <c:pt idx="1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2-4319-8AE6-DEEAE021382E}"/>
            </c:ext>
          </c:extLst>
        </c:ser>
        <c:ser>
          <c:idx val="2"/>
          <c:order val="2"/>
          <c:tx>
            <c:strRef>
              <c:f>'2025 redone carbon only'!$U$24</c:f>
              <c:strCache>
                <c:ptCount val="1"/>
                <c:pt idx="0">
                  <c:v>PP1-DIA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only'!$U$25:$U$26</c:f>
              <c:numCache>
                <c:formatCode>General</c:formatCode>
                <c:ptCount val="2"/>
                <c:pt idx="0">
                  <c:v>2.4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2-4319-8AE6-DEEAE021382E}"/>
            </c:ext>
          </c:extLst>
        </c:ser>
        <c:ser>
          <c:idx val="3"/>
          <c:order val="3"/>
          <c:tx>
            <c:strRef>
              <c:f>'2025 redone carbon only'!$V$24</c:f>
              <c:strCache>
                <c:ptCount val="1"/>
                <c:pt idx="0">
                  <c:v>PP2-NAN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only'!$V$25:$V$26</c:f>
              <c:numCache>
                <c:formatCode>General</c:formatCode>
                <c:ptCount val="2"/>
                <c:pt idx="0">
                  <c:v>1.5</c:v>
                </c:pt>
                <c:pt idx="1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2-4319-8AE6-DEEAE021382E}"/>
            </c:ext>
          </c:extLst>
        </c:ser>
        <c:ser>
          <c:idx val="4"/>
          <c:order val="4"/>
          <c:tx>
            <c:strRef>
              <c:f>'2025 redone carbon only'!$W$24</c:f>
              <c:strCache>
                <c:ptCount val="1"/>
                <c:pt idx="0">
                  <c:v>PP3-PIC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only'!$W$25:$W$26</c:f>
              <c:numCache>
                <c:formatCode>General</c:formatCode>
                <c:ptCount val="2"/>
                <c:pt idx="0">
                  <c:v>0.35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2-4319-8AE6-DEEAE021382E}"/>
            </c:ext>
          </c:extLst>
        </c:ser>
        <c:ser>
          <c:idx val="5"/>
          <c:order val="5"/>
          <c:tx>
            <c:strRef>
              <c:f>'2025 redone carbon only'!$X$24</c:f>
              <c:strCache>
                <c:ptCount val="1"/>
                <c:pt idx="0">
                  <c:v>BA1-BAC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'2025 redone carbon only'!$R$25:$R$26</c:f>
              <c:strCache>
                <c:ptCount val="2"/>
                <c:pt idx="0">
                  <c:v>model</c:v>
                </c:pt>
                <c:pt idx="1">
                  <c:v>McEwan model and data</c:v>
                </c:pt>
              </c:strCache>
            </c:strRef>
          </c:cat>
          <c:val>
            <c:numRef>
              <c:f>'2025 redone carbon only'!$X$25:$X$26</c:f>
              <c:numCache>
                <c:formatCode>General</c:formatCode>
                <c:ptCount val="2"/>
                <c:pt idx="0">
                  <c:v>0.17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82-4319-8AE6-DEEAE021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42752"/>
        <c:axId val="200445632"/>
      </c:barChart>
      <c:catAx>
        <c:axId val="2004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632"/>
        <c:crosses val="autoZero"/>
        <c:auto val="1"/>
        <c:lblAlgn val="ctr"/>
        <c:lblOffset val="100"/>
        <c:noMultiLvlLbl val="0"/>
      </c:catAx>
      <c:valAx>
        <c:axId val="200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'cross checks convers'!$AE$4</c:f>
              <c:strCache>
                <c:ptCount val="1"/>
                <c:pt idx="0">
                  <c:v>PZ1-CIL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convers'!$AE$5:$AE$6</c:f>
              <c:numCache>
                <c:formatCode>General</c:formatCode>
                <c:ptCount val="2"/>
                <c:pt idx="0">
                  <c:v>1.1020000000000001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3-451E-8179-988A71000881}"/>
            </c:ext>
          </c:extLst>
        </c:ser>
        <c:ser>
          <c:idx val="1"/>
          <c:order val="1"/>
          <c:tx>
            <c:strRef>
              <c:f>'cross checks convers'!$AF$4</c:f>
              <c:strCache>
                <c:ptCount val="1"/>
                <c:pt idx="0">
                  <c:v>PZ2-DIN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convers'!$AF$5:$AF$6</c:f>
              <c:numCache>
                <c:formatCode>General</c:formatCode>
                <c:ptCount val="2"/>
                <c:pt idx="0">
                  <c:v>0.86999999999999988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3-451E-8179-988A71000881}"/>
            </c:ext>
          </c:extLst>
        </c:ser>
        <c:ser>
          <c:idx val="2"/>
          <c:order val="2"/>
          <c:tx>
            <c:strRef>
              <c:f>'cross checks convers'!$AG$4</c:f>
              <c:strCache>
                <c:ptCount val="1"/>
                <c:pt idx="0">
                  <c:v>PZ3-HNF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convers'!$AG$5:$AG$6</c:f>
              <c:numCache>
                <c:formatCode>General</c:formatCode>
                <c:ptCount val="2"/>
                <c:pt idx="0">
                  <c:v>0.40600000000000003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3-451E-8179-988A71000881}"/>
            </c:ext>
          </c:extLst>
        </c:ser>
        <c:ser>
          <c:idx val="3"/>
          <c:order val="3"/>
          <c:tx>
            <c:strRef>
              <c:f>'cross checks convers'!$AH$4</c:f>
              <c:strCache>
                <c:ptCount val="1"/>
                <c:pt idx="0">
                  <c:v>PP1-DIA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convers'!$AH$5:$AH$6</c:f>
              <c:numCache>
                <c:formatCode>General</c:formatCode>
                <c:ptCount val="2"/>
                <c:pt idx="0">
                  <c:v>1.5659999999999998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3-451E-8179-988A71000881}"/>
            </c:ext>
          </c:extLst>
        </c:ser>
        <c:ser>
          <c:idx val="4"/>
          <c:order val="4"/>
          <c:tx>
            <c:strRef>
              <c:f>'cross checks convers'!$AI$4</c:f>
              <c:strCache>
                <c:ptCount val="1"/>
                <c:pt idx="0">
                  <c:v>PP2-NAN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convers'!$AI$5:$AI$6</c:f>
              <c:numCache>
                <c:formatCode>General</c:formatCode>
                <c:ptCount val="2"/>
                <c:pt idx="0">
                  <c:v>1.276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3-451E-8179-988A71000881}"/>
            </c:ext>
          </c:extLst>
        </c:ser>
        <c:ser>
          <c:idx val="5"/>
          <c:order val="5"/>
          <c:tx>
            <c:strRef>
              <c:f>'cross checks convers'!$AJ$4</c:f>
              <c:strCache>
                <c:ptCount val="1"/>
                <c:pt idx="0">
                  <c:v>PP3-PIC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convers'!$AJ$5:$AJ$6</c:f>
              <c:numCache>
                <c:formatCode>General</c:formatCode>
                <c:ptCount val="2"/>
                <c:pt idx="0">
                  <c:v>0.34799999999999998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3-451E-8179-988A71000881}"/>
            </c:ext>
          </c:extLst>
        </c:ser>
        <c:ser>
          <c:idx val="6"/>
          <c:order val="6"/>
          <c:tx>
            <c:strRef>
              <c:f>'cross checks convers'!$AK$4</c:f>
              <c:strCache>
                <c:ptCount val="1"/>
                <c:pt idx="0">
                  <c:v>BA1-BAC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checks convers'!$AD$5:$AD$6</c:f>
              <c:strCache>
                <c:ptCount val="2"/>
                <c:pt idx="0">
                  <c:v>Model Phyto and Mixo</c:v>
                </c:pt>
                <c:pt idx="1">
                  <c:v>rough mcewan</c:v>
                </c:pt>
              </c:strCache>
            </c:strRef>
          </c:cat>
          <c:val>
            <c:numRef>
              <c:f>'cross checks convers'!$AK$5:$AK$6</c:f>
              <c:numCache>
                <c:formatCode>General</c:formatCode>
                <c:ptCount val="2"/>
                <c:pt idx="0">
                  <c:v>0.17399999999999999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3-451E-8179-988A7100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62448"/>
        <c:axId val="69458608"/>
      </c:barChart>
      <c:catAx>
        <c:axId val="694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8608"/>
        <c:crosses val="autoZero"/>
        <c:auto val="1"/>
        <c:lblAlgn val="ctr"/>
        <c:lblOffset val="100"/>
        <c:noMultiLvlLbl val="0"/>
      </c:catAx>
      <c:valAx>
        <c:axId val="69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28</xdr:row>
      <xdr:rowOff>33337</xdr:rowOff>
    </xdr:from>
    <xdr:to>
      <xdr:col>28</xdr:col>
      <xdr:colOff>142875</xdr:colOff>
      <xdr:row>42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2320A-E8C3-9AD1-6AE9-8E4C3314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23</xdr:row>
      <xdr:rowOff>52386</xdr:rowOff>
    </xdr:from>
    <xdr:to>
      <xdr:col>38</xdr:col>
      <xdr:colOff>66674</xdr:colOff>
      <xdr:row>40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D085E-275B-612E-5CAE-EF5D69D9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j.ecolmodel.2023.1104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4319/lo.1967.12.3.0411" TargetMode="External"/><Relationship Id="rId1" Type="http://schemas.openxmlformats.org/officeDocument/2006/relationships/hyperlink" Target="https://doi.org/10.4319/lo.2000.45.3.056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5F5B-FB75-40C3-85EF-78DB96733E55}">
  <dimension ref="A1:Y66"/>
  <sheetViews>
    <sheetView tabSelected="1" workbookViewId="0">
      <selection activeCell="AC25" sqref="AC25:AC26"/>
    </sheetView>
  </sheetViews>
  <sheetFormatPr defaultRowHeight="15" x14ac:dyDescent="0.25"/>
  <cols>
    <col min="4" max="4" width="16.85546875" customWidth="1"/>
  </cols>
  <sheetData>
    <row r="1" spans="1:21" x14ac:dyDescent="0.25">
      <c r="A1" t="s">
        <v>151</v>
      </c>
      <c r="S1" t="s">
        <v>165</v>
      </c>
    </row>
    <row r="2" spans="1:21" x14ac:dyDescent="0.25">
      <c r="S2" s="4" t="s">
        <v>143</v>
      </c>
      <c r="U2" s="4" t="s">
        <v>142</v>
      </c>
    </row>
    <row r="3" spans="1:21" x14ac:dyDescent="0.25">
      <c r="S3" t="s">
        <v>141</v>
      </c>
      <c r="U3" t="s">
        <v>144</v>
      </c>
    </row>
    <row r="4" spans="1:21" x14ac:dyDescent="0.25">
      <c r="S4">
        <f>D14/(D14+D13)</f>
        <v>0.44162436548223344</v>
      </c>
      <c r="U4">
        <f>D16/(D16+D14)</f>
        <v>0.7339449541284403</v>
      </c>
    </row>
    <row r="10" spans="1:21" x14ac:dyDescent="0.25">
      <c r="C10" t="s">
        <v>166</v>
      </c>
      <c r="S10" s="4" t="s">
        <v>157</v>
      </c>
    </row>
    <row r="11" spans="1:21" x14ac:dyDescent="0.25">
      <c r="S11" t="s">
        <v>156</v>
      </c>
    </row>
    <row r="12" spans="1:21" x14ac:dyDescent="0.25">
      <c r="C12" s="4" t="s">
        <v>150</v>
      </c>
      <c r="D12" s="4" t="s">
        <v>152</v>
      </c>
      <c r="E12" s="4" t="s">
        <v>159</v>
      </c>
      <c r="F12" s="4" t="s">
        <v>158</v>
      </c>
      <c r="G12" s="4" t="s">
        <v>167</v>
      </c>
      <c r="H12" s="4" t="s">
        <v>177</v>
      </c>
      <c r="I12" s="4" t="s">
        <v>176</v>
      </c>
      <c r="J12" s="4" t="s">
        <v>168</v>
      </c>
      <c r="S12" s="1" t="s">
        <v>153</v>
      </c>
    </row>
    <row r="13" spans="1:21" x14ac:dyDescent="0.25">
      <c r="C13" s="4" t="s">
        <v>118</v>
      </c>
      <c r="D13" s="2">
        <v>1.1000000000000001</v>
      </c>
      <c r="E13">
        <v>9</v>
      </c>
      <c r="F13">
        <f>ROUND(E13*10,1)</f>
        <v>90</v>
      </c>
      <c r="G13">
        <v>0.1</v>
      </c>
      <c r="H13">
        <f>G13*D13</f>
        <v>0.11000000000000001</v>
      </c>
      <c r="I13" s="9">
        <f>H13/$H$21</f>
        <v>2.4719101123595509E-2</v>
      </c>
      <c r="J13">
        <f>D13*F13*G13</f>
        <v>9.9000000000000021</v>
      </c>
    </row>
    <row r="14" spans="1:21" x14ac:dyDescent="0.25">
      <c r="C14" s="4" t="s">
        <v>109</v>
      </c>
      <c r="D14" s="2">
        <v>0.87</v>
      </c>
      <c r="E14">
        <v>5</v>
      </c>
      <c r="F14">
        <f t="shared" ref="F14:F19" si="0">ROUND(E14*10,1)</f>
        <v>50</v>
      </c>
      <c r="G14">
        <v>0.1</v>
      </c>
      <c r="H14">
        <f t="shared" ref="H14:H19" si="1">G14*D14</f>
        <v>8.7000000000000008E-2</v>
      </c>
      <c r="I14" s="9">
        <f t="shared" ref="I14:I19" si="2">H14/$H$21</f>
        <v>1.9550561797752809E-2</v>
      </c>
      <c r="J14">
        <f t="shared" ref="J14:J19" si="3">D14*F14*G14</f>
        <v>4.3500000000000005</v>
      </c>
    </row>
    <row r="15" spans="1:21" x14ac:dyDescent="0.25">
      <c r="C15" s="4" t="s">
        <v>110</v>
      </c>
      <c r="D15" s="2">
        <v>0.46</v>
      </c>
      <c r="E15">
        <v>7</v>
      </c>
      <c r="F15">
        <f t="shared" si="0"/>
        <v>70</v>
      </c>
      <c r="G15">
        <v>0</v>
      </c>
      <c r="H15">
        <f t="shared" si="1"/>
        <v>0</v>
      </c>
      <c r="I15" s="9">
        <f t="shared" si="2"/>
        <v>0</v>
      </c>
      <c r="J15">
        <f t="shared" si="3"/>
        <v>0</v>
      </c>
      <c r="S15" t="s">
        <v>154</v>
      </c>
    </row>
    <row r="16" spans="1:21" x14ac:dyDescent="0.25">
      <c r="C16" s="4" t="s">
        <v>130</v>
      </c>
      <c r="D16" s="45">
        <f>3/1.25</f>
        <v>2.4</v>
      </c>
      <c r="E16">
        <v>10</v>
      </c>
      <c r="F16">
        <f t="shared" si="0"/>
        <v>100</v>
      </c>
      <c r="G16">
        <v>1</v>
      </c>
      <c r="H16">
        <f t="shared" si="1"/>
        <v>2.4</v>
      </c>
      <c r="I16" s="9">
        <f t="shared" si="2"/>
        <v>0.5393258426966292</v>
      </c>
      <c r="J16">
        <f t="shared" si="3"/>
        <v>240</v>
      </c>
    </row>
    <row r="17" spans="3:25" x14ac:dyDescent="0.25">
      <c r="C17" s="4" t="s">
        <v>131</v>
      </c>
      <c r="D17" s="2">
        <v>1.5</v>
      </c>
      <c r="E17">
        <v>7</v>
      </c>
      <c r="F17">
        <f t="shared" si="0"/>
        <v>70</v>
      </c>
      <c r="G17">
        <v>1</v>
      </c>
      <c r="H17">
        <f t="shared" si="1"/>
        <v>1.5</v>
      </c>
      <c r="I17" s="9">
        <f t="shared" si="2"/>
        <v>0.33707865168539325</v>
      </c>
      <c r="J17">
        <f t="shared" si="3"/>
        <v>105</v>
      </c>
      <c r="S17" t="s">
        <v>118</v>
      </c>
      <c r="T17" t="s">
        <v>109</v>
      </c>
      <c r="U17" t="s">
        <v>110</v>
      </c>
      <c r="V17" t="s">
        <v>130</v>
      </c>
      <c r="W17" t="s">
        <v>131</v>
      </c>
      <c r="X17" t="s">
        <v>132</v>
      </c>
      <c r="Y17" t="s">
        <v>133</v>
      </c>
    </row>
    <row r="18" spans="3:25" x14ac:dyDescent="0.25">
      <c r="C18" s="4" t="s">
        <v>132</v>
      </c>
      <c r="D18" s="2">
        <v>0.35</v>
      </c>
      <c r="E18">
        <v>11</v>
      </c>
      <c r="F18">
        <f t="shared" si="0"/>
        <v>110</v>
      </c>
      <c r="G18">
        <v>1</v>
      </c>
      <c r="H18">
        <f t="shared" si="1"/>
        <v>0.35</v>
      </c>
      <c r="I18" s="9">
        <f t="shared" si="2"/>
        <v>7.8651685393258425E-2</v>
      </c>
      <c r="J18">
        <f t="shared" si="3"/>
        <v>38.5</v>
      </c>
      <c r="R18" t="s">
        <v>155</v>
      </c>
      <c r="S18">
        <f>D13</f>
        <v>1.1000000000000001</v>
      </c>
      <c r="T18">
        <f>D14</f>
        <v>0.87</v>
      </c>
      <c r="U18">
        <f>D15</f>
        <v>0.46</v>
      </c>
      <c r="V18">
        <f>D16</f>
        <v>2.4</v>
      </c>
      <c r="W18">
        <f>D17</f>
        <v>1.5</v>
      </c>
      <c r="X18">
        <f>D18</f>
        <v>0.35</v>
      </c>
      <c r="Y18">
        <f>D19</f>
        <v>0.17</v>
      </c>
    </row>
    <row r="19" spans="3:25" x14ac:dyDescent="0.25">
      <c r="C19" s="4" t="s">
        <v>133</v>
      </c>
      <c r="D19" s="2">
        <v>0.17</v>
      </c>
      <c r="E19">
        <v>15</v>
      </c>
      <c r="F19">
        <f t="shared" si="0"/>
        <v>150</v>
      </c>
      <c r="G19">
        <v>0</v>
      </c>
      <c r="H19">
        <f t="shared" si="1"/>
        <v>0</v>
      </c>
      <c r="I19" s="9">
        <f t="shared" si="2"/>
        <v>0</v>
      </c>
      <c r="J19">
        <f t="shared" si="3"/>
        <v>0</v>
      </c>
      <c r="R19" s="10" t="s">
        <v>160</v>
      </c>
      <c r="S19" s="38">
        <v>0.76</v>
      </c>
      <c r="T19" s="39">
        <f>1.53/2</f>
        <v>0.76500000000000001</v>
      </c>
      <c r="U19" s="40">
        <f>1.53/2</f>
        <v>0.76500000000000001</v>
      </c>
      <c r="V19" s="41">
        <v>3</v>
      </c>
      <c r="W19" s="42">
        <v>1.64</v>
      </c>
      <c r="X19" s="43">
        <v>0.3</v>
      </c>
      <c r="Y19" s="44">
        <v>0.73</v>
      </c>
    </row>
    <row r="20" spans="3:25" x14ac:dyDescent="0.25">
      <c r="T20" s="45" t="s">
        <v>161</v>
      </c>
      <c r="W20" s="46" t="s">
        <v>175</v>
      </c>
    </row>
    <row r="21" spans="3:25" x14ac:dyDescent="0.25">
      <c r="C21" s="47" t="s">
        <v>178</v>
      </c>
      <c r="D21" s="4">
        <f>ROUND(SUM(D16:D18),2)</f>
        <v>4.25</v>
      </c>
      <c r="H21" s="4">
        <f>ROUND(SUM(H13:H19),2)</f>
        <v>4.45</v>
      </c>
      <c r="J21" s="4">
        <f>ROUND(SUM(J13:J19),1)</f>
        <v>397.8</v>
      </c>
    </row>
    <row r="22" spans="3:25" x14ac:dyDescent="0.25">
      <c r="U22" s="4" t="s">
        <v>163</v>
      </c>
    </row>
    <row r="24" spans="3:25" x14ac:dyDescent="0.25">
      <c r="D24" s="44" t="s">
        <v>169</v>
      </c>
      <c r="R24" t="s">
        <v>164</v>
      </c>
      <c r="S24" t="s">
        <v>118</v>
      </c>
      <c r="T24" t="s">
        <v>162</v>
      </c>
      <c r="U24" t="s">
        <v>130</v>
      </c>
      <c r="V24" t="s">
        <v>131</v>
      </c>
      <c r="W24" t="s">
        <v>132</v>
      </c>
      <c r="X24" t="s">
        <v>133</v>
      </c>
    </row>
    <row r="25" spans="3:25" x14ac:dyDescent="0.25">
      <c r="D25" t="s">
        <v>170</v>
      </c>
      <c r="R25" t="s">
        <v>155</v>
      </c>
      <c r="S25">
        <f>S18</f>
        <v>1.1000000000000001</v>
      </c>
      <c r="T25">
        <f>U18+T18</f>
        <v>1.33</v>
      </c>
      <c r="U25">
        <f>V18</f>
        <v>2.4</v>
      </c>
      <c r="V25">
        <f t="shared" ref="V25:X26" si="4">W18</f>
        <v>1.5</v>
      </c>
      <c r="W25">
        <f t="shared" si="4"/>
        <v>0.35</v>
      </c>
      <c r="X25">
        <f t="shared" si="4"/>
        <v>0.17</v>
      </c>
    </row>
    <row r="26" spans="3:25" x14ac:dyDescent="0.25">
      <c r="D26" t="s">
        <v>171</v>
      </c>
      <c r="R26" s="10" t="s">
        <v>160</v>
      </c>
      <c r="S26">
        <f>S19</f>
        <v>0.76</v>
      </c>
      <c r="T26">
        <f>T19+U19</f>
        <v>1.53</v>
      </c>
      <c r="U26">
        <f>V19</f>
        <v>3</v>
      </c>
      <c r="V26">
        <f t="shared" si="4"/>
        <v>1.64</v>
      </c>
      <c r="W26">
        <f t="shared" si="4"/>
        <v>0.3</v>
      </c>
      <c r="X26">
        <f t="shared" si="4"/>
        <v>0.73</v>
      </c>
    </row>
    <row r="27" spans="3:25" x14ac:dyDescent="0.25">
      <c r="D27" t="s">
        <v>172</v>
      </c>
    </row>
    <row r="28" spans="3:25" x14ac:dyDescent="0.25">
      <c r="D28" t="s">
        <v>173</v>
      </c>
    </row>
    <row r="29" spans="3:25" x14ac:dyDescent="0.25">
      <c r="D29" t="s">
        <v>174</v>
      </c>
    </row>
    <row r="42" spans="12:12" x14ac:dyDescent="0.25">
      <c r="L42">
        <v>4.5999999999999999E-3</v>
      </c>
    </row>
    <row r="43" spans="12:12" x14ac:dyDescent="0.25">
      <c r="L43">
        <v>1.8000000000000001E-4</v>
      </c>
    </row>
    <row r="44" spans="12:12" x14ac:dyDescent="0.25">
      <c r="L44">
        <v>0.28000000000000003</v>
      </c>
    </row>
    <row r="45" spans="12:12" x14ac:dyDescent="0.25">
      <c r="L45">
        <v>0.03</v>
      </c>
    </row>
    <row r="46" spans="12:12" x14ac:dyDescent="0.25">
      <c r="L46">
        <v>0.6</v>
      </c>
    </row>
    <row r="47" spans="12:12" x14ac:dyDescent="0.25">
      <c r="L47">
        <v>0.52</v>
      </c>
    </row>
    <row r="48" spans="12:12" x14ac:dyDescent="0.25">
      <c r="L48">
        <v>0.09</v>
      </c>
    </row>
    <row r="49" spans="12:18" x14ac:dyDescent="0.25">
      <c r="L49">
        <v>0.64</v>
      </c>
    </row>
    <row r="50" spans="12:18" x14ac:dyDescent="0.25">
      <c r="L50">
        <v>0.5</v>
      </c>
    </row>
    <row r="51" spans="12:18" x14ac:dyDescent="0.25">
      <c r="L51">
        <v>3.0000000000000001E-3</v>
      </c>
      <c r="R51">
        <v>5.1479959999999998E-2</v>
      </c>
    </row>
    <row r="52" spans="12:18" x14ac:dyDescent="0.25">
      <c r="L52">
        <v>0.03</v>
      </c>
      <c r="R52">
        <v>3.9600039999999996E-3</v>
      </c>
    </row>
    <row r="53" spans="12:18" x14ac:dyDescent="0.25">
      <c r="L53">
        <v>0.26</v>
      </c>
      <c r="R53">
        <v>0.23451430000000001</v>
      </c>
    </row>
    <row r="54" spans="12:18" x14ac:dyDescent="0.25">
      <c r="L54">
        <v>0.04</v>
      </c>
      <c r="R54">
        <v>0.52415990000000001</v>
      </c>
    </row>
    <row r="55" spans="12:18" x14ac:dyDescent="0.25">
      <c r="L55">
        <v>1.1000000000000001</v>
      </c>
      <c r="R55">
        <v>3.98769E-2</v>
      </c>
    </row>
    <row r="56" spans="12:18" x14ac:dyDescent="0.25">
      <c r="L56">
        <v>0.87</v>
      </c>
      <c r="R56">
        <v>0.29622860000000001</v>
      </c>
    </row>
    <row r="57" spans="12:18" x14ac:dyDescent="0.25">
      <c r="L57">
        <v>0.46</v>
      </c>
      <c r="R57">
        <v>0.43392829999999999</v>
      </c>
    </row>
    <row r="58" spans="12:18" x14ac:dyDescent="0.25">
      <c r="L58">
        <v>2.31</v>
      </c>
      <c r="R58">
        <v>8.7144830000000003E-4</v>
      </c>
    </row>
    <row r="59" spans="12:18" x14ac:dyDescent="0.25">
      <c r="L59">
        <v>1.5</v>
      </c>
      <c r="R59">
        <v>3.1556250000000001E-2</v>
      </c>
    </row>
    <row r="60" spans="12:18" x14ac:dyDescent="0.25">
      <c r="L60">
        <v>0.35</v>
      </c>
      <c r="R60">
        <v>0.10920000000000001</v>
      </c>
    </row>
    <row r="61" spans="12:18" x14ac:dyDescent="0.25">
      <c r="L61">
        <v>0.17</v>
      </c>
      <c r="R61">
        <v>0.21556359999999999</v>
      </c>
    </row>
    <row r="62" spans="12:18" x14ac:dyDescent="0.25">
      <c r="L62">
        <f>SUM(L42:L61)</f>
        <v>9.7577800000000003</v>
      </c>
      <c r="R62">
        <v>13.57714</v>
      </c>
    </row>
    <row r="63" spans="12:18" x14ac:dyDescent="0.25">
      <c r="R63">
        <v>5.9812500000000002</v>
      </c>
    </row>
    <row r="64" spans="12:18" x14ac:dyDescent="0.25">
      <c r="R64">
        <v>1.756364</v>
      </c>
    </row>
    <row r="65" spans="18:18" x14ac:dyDescent="0.25">
      <c r="R65">
        <v>8.4999990000000007</v>
      </c>
    </row>
    <row r="66" spans="18:18" x14ac:dyDescent="0.25">
      <c r="R66" s="4">
        <f>SUM(R51:R65)</f>
        <v>31.756092262300001</v>
      </c>
    </row>
  </sheetData>
  <hyperlinks>
    <hyperlink ref="S12" r:id="rId1" display="https://doi.org/10.1016/j.ecolmodel.2023.110402" xr:uid="{DE54001D-3B3D-4A8B-A4EE-1BD550CE32F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99A1-E7D8-44DA-B850-5A6129E401FC}">
  <dimension ref="B2:N118"/>
  <sheetViews>
    <sheetView topLeftCell="A46" workbookViewId="0">
      <selection activeCell="F76" sqref="F76"/>
    </sheetView>
  </sheetViews>
  <sheetFormatPr defaultRowHeight="15" x14ac:dyDescent="0.25"/>
  <cols>
    <col min="3" max="3" width="17.42578125" customWidth="1"/>
    <col min="4" max="4" width="18.85546875" customWidth="1"/>
    <col min="6" max="6" width="39.140625" customWidth="1"/>
    <col min="7" max="7" width="18.7109375" customWidth="1"/>
    <col min="8" max="8" width="17.7109375" customWidth="1"/>
    <col min="9" max="9" width="16.28515625" customWidth="1"/>
    <col min="10" max="10" width="18.5703125" customWidth="1"/>
    <col min="11" max="11" width="19.42578125" customWidth="1"/>
    <col min="12" max="12" width="23.5703125" customWidth="1"/>
  </cols>
  <sheetData>
    <row r="2" spans="2:12" x14ac:dyDescent="0.25">
      <c r="B2" s="1" t="s">
        <v>55</v>
      </c>
    </row>
    <row r="3" spans="2:12" x14ac:dyDescent="0.25">
      <c r="B3" s="1" t="s">
        <v>56</v>
      </c>
    </row>
    <row r="7" spans="2:12" x14ac:dyDescent="0.25">
      <c r="C7" s="2"/>
      <c r="D7" s="2"/>
      <c r="E7" s="2"/>
    </row>
    <row r="8" spans="2:12" x14ac:dyDescent="0.25">
      <c r="C8" s="3" t="s">
        <v>0</v>
      </c>
      <c r="D8" s="2"/>
      <c r="E8" s="2"/>
      <c r="F8" s="4" t="s">
        <v>4</v>
      </c>
    </row>
    <row r="9" spans="2:12" x14ac:dyDescent="0.25">
      <c r="C9" s="2" t="s">
        <v>16</v>
      </c>
      <c r="D9" s="2" t="s">
        <v>1</v>
      </c>
      <c r="E9" s="2"/>
      <c r="F9" s="4" t="s">
        <v>57</v>
      </c>
      <c r="I9">
        <f>10^4.5</f>
        <v>31622.77660168384</v>
      </c>
    </row>
    <row r="10" spans="2:12" x14ac:dyDescent="0.25">
      <c r="C10" s="2">
        <v>1</v>
      </c>
      <c r="D10" s="2">
        <v>1</v>
      </c>
      <c r="E10" s="2"/>
      <c r="F10" t="s">
        <v>13</v>
      </c>
      <c r="L10" t="s">
        <v>129</v>
      </c>
    </row>
    <row r="11" spans="2:12" x14ac:dyDescent="0.25">
      <c r="C11" s="2"/>
      <c r="D11" s="2"/>
      <c r="E11" s="2"/>
      <c r="F11" t="s">
        <v>58</v>
      </c>
    </row>
    <row r="12" spans="2:12" x14ac:dyDescent="0.25">
      <c r="C12" s="2" t="s">
        <v>12</v>
      </c>
      <c r="D12" s="2"/>
      <c r="E12" s="2"/>
    </row>
    <row r="13" spans="2:12" x14ac:dyDescent="0.25">
      <c r="C13" s="2" t="s">
        <v>2</v>
      </c>
      <c r="D13" s="2" t="s">
        <v>3</v>
      </c>
      <c r="E13" s="2"/>
      <c r="G13" s="3" t="s">
        <v>59</v>
      </c>
      <c r="H13" s="3" t="s">
        <v>54</v>
      </c>
      <c r="I13" s="3" t="s">
        <v>7</v>
      </c>
      <c r="J13" s="3" t="s">
        <v>8</v>
      </c>
      <c r="K13" s="3" t="s">
        <v>9</v>
      </c>
      <c r="L13" s="3" t="s">
        <v>10</v>
      </c>
    </row>
    <row r="14" spans="2:12" x14ac:dyDescent="0.25">
      <c r="C14" s="2">
        <v>1</v>
      </c>
      <c r="D14" s="2">
        <v>1027</v>
      </c>
      <c r="E14" s="2"/>
      <c r="F14" t="s">
        <v>5</v>
      </c>
      <c r="G14" s="2">
        <v>2.2000000000000002</v>
      </c>
      <c r="H14" s="5">
        <f>-0.119+0.819*G14</f>
        <v>1.6828000000000001</v>
      </c>
      <c r="I14" s="17">
        <f>10^(G14)</f>
        <v>158.48931924611153</v>
      </c>
      <c r="J14" s="17">
        <f>10^(H14)</f>
        <v>48.172590355916341</v>
      </c>
      <c r="K14" s="14">
        <f>J14/I14</f>
        <v>0.30394849687701109</v>
      </c>
      <c r="L14" s="6">
        <f>1/K14</f>
        <v>3.2900310752470587</v>
      </c>
    </row>
    <row r="15" spans="2:12" x14ac:dyDescent="0.25">
      <c r="C15" s="2"/>
      <c r="D15" s="2"/>
      <c r="E15" s="2"/>
      <c r="F15" t="s">
        <v>6</v>
      </c>
      <c r="G15" s="2">
        <v>5.5</v>
      </c>
      <c r="H15" s="5">
        <f>-0.119+0.819*G15</f>
        <v>4.3855000000000004</v>
      </c>
      <c r="I15" s="16">
        <f>10^(G15)</f>
        <v>316227.7660168382</v>
      </c>
      <c r="J15" s="16">
        <f>10^(H15)</f>
        <v>24294.054420204247</v>
      </c>
      <c r="K15" s="14">
        <f>J15/I15</f>
        <v>7.68245455679267E-2</v>
      </c>
      <c r="L15" s="6">
        <f>1/K15</f>
        <v>13.016673155792642</v>
      </c>
    </row>
    <row r="16" spans="2:12" x14ac:dyDescent="0.25">
      <c r="C16" s="2"/>
      <c r="D16" s="2"/>
      <c r="E16" s="2"/>
    </row>
    <row r="17" spans="3:12" x14ac:dyDescent="0.25">
      <c r="C17" s="2"/>
      <c r="D17" s="2"/>
      <c r="E17" s="2"/>
      <c r="G17" t="s">
        <v>60</v>
      </c>
    </row>
    <row r="18" spans="3:12" x14ac:dyDescent="0.25">
      <c r="G18">
        <f t="shared" ref="G18:L18" si="0">AVERAGE(G14:G15)</f>
        <v>3.85</v>
      </c>
      <c r="H18" s="6">
        <f t="shared" si="0"/>
        <v>3.0341500000000003</v>
      </c>
      <c r="I18" s="6">
        <f t="shared" si="0"/>
        <v>158193.12766804214</v>
      </c>
      <c r="J18" s="6">
        <f t="shared" si="0"/>
        <v>12171.113505280082</v>
      </c>
      <c r="K18" s="9">
        <f t="shared" si="0"/>
        <v>0.19038652122246891</v>
      </c>
      <c r="L18" s="6">
        <f t="shared" si="0"/>
        <v>8.1533521155198496</v>
      </c>
    </row>
    <row r="19" spans="3:12" x14ac:dyDescent="0.25">
      <c r="H19" s="6"/>
      <c r="I19" s="6"/>
      <c r="J19" s="6"/>
      <c r="K19" s="9"/>
      <c r="L19" s="6"/>
    </row>
    <row r="20" spans="3:12" x14ac:dyDescent="0.25">
      <c r="F20" s="4" t="s">
        <v>70</v>
      </c>
    </row>
    <row r="21" spans="3:12" x14ac:dyDescent="0.25">
      <c r="F21" t="s">
        <v>71</v>
      </c>
      <c r="G21" s="3" t="s">
        <v>59</v>
      </c>
      <c r="H21" s="3" t="s">
        <v>54</v>
      </c>
      <c r="I21" s="3" t="s">
        <v>7</v>
      </c>
      <c r="J21" s="3" t="s">
        <v>8</v>
      </c>
      <c r="K21" s="3" t="s">
        <v>9</v>
      </c>
      <c r="L21" s="3" t="s">
        <v>10</v>
      </c>
    </row>
    <row r="22" spans="3:12" x14ac:dyDescent="0.25">
      <c r="F22" s="10" t="s">
        <v>5</v>
      </c>
      <c r="G22" s="2">
        <v>3.2</v>
      </c>
      <c r="H22" s="13">
        <f>-0.547 + 0.9*G22</f>
        <v>2.3330000000000002</v>
      </c>
      <c r="I22" s="24">
        <f>10^G22</f>
        <v>1584.8931924611156</v>
      </c>
      <c r="J22" s="24">
        <f>10^H22</f>
        <v>215.27817347243754</v>
      </c>
      <c r="K22" s="25">
        <f>J22/I22</f>
        <v>0.13583134465871538</v>
      </c>
      <c r="L22" s="21">
        <f>1/K22</f>
        <v>7.362070974947363</v>
      </c>
    </row>
    <row r="23" spans="3:12" x14ac:dyDescent="0.25">
      <c r="F23" s="10" t="s">
        <v>6</v>
      </c>
      <c r="G23" s="2">
        <v>7</v>
      </c>
      <c r="H23" s="13">
        <f>-0.547 + 0.9*G23</f>
        <v>5.7530000000000001</v>
      </c>
      <c r="I23" s="24">
        <f>10^G23</f>
        <v>10000000</v>
      </c>
      <c r="J23" s="24">
        <f>10^H23</f>
        <v>566239.28903825453</v>
      </c>
      <c r="K23" s="25">
        <f>J23/I23</f>
        <v>5.6623928903825456E-2</v>
      </c>
      <c r="L23" s="21">
        <f>1/K23</f>
        <v>17.660378206861605</v>
      </c>
    </row>
    <row r="24" spans="3:12" x14ac:dyDescent="0.25">
      <c r="F24" s="10" t="s">
        <v>72</v>
      </c>
      <c r="G24" s="3">
        <f t="shared" ref="G24:L24" si="1">AVERAGE(G22:G23)</f>
        <v>5.0999999999999996</v>
      </c>
      <c r="H24" s="3">
        <f t="shared" si="1"/>
        <v>4.0430000000000001</v>
      </c>
      <c r="I24" s="22">
        <f t="shared" si="1"/>
        <v>5000792.4465962304</v>
      </c>
      <c r="J24" s="22">
        <f t="shared" si="1"/>
        <v>283227.28360586346</v>
      </c>
      <c r="K24" s="25">
        <f t="shared" si="1"/>
        <v>9.6227636781270415E-2</v>
      </c>
      <c r="L24" s="22">
        <f t="shared" si="1"/>
        <v>12.511224590904483</v>
      </c>
    </row>
    <row r="25" spans="3:12" x14ac:dyDescent="0.25">
      <c r="F25" s="10"/>
      <c r="G25" s="3"/>
      <c r="H25" s="3"/>
      <c r="I25" s="22"/>
      <c r="J25" s="22"/>
      <c r="K25" s="25"/>
      <c r="L25" s="22"/>
    </row>
    <row r="26" spans="3:12" x14ac:dyDescent="0.25">
      <c r="F26" s="4" t="s">
        <v>73</v>
      </c>
      <c r="G26" s="3"/>
      <c r="H26" s="3"/>
      <c r="I26" s="22"/>
      <c r="J26" s="22"/>
      <c r="K26" s="25"/>
      <c r="L26" s="22"/>
    </row>
    <row r="27" spans="3:12" x14ac:dyDescent="0.25">
      <c r="F27" t="s">
        <v>74</v>
      </c>
      <c r="G27" s="3" t="s">
        <v>59</v>
      </c>
      <c r="H27" s="3" t="s">
        <v>54</v>
      </c>
      <c r="I27" s="3" t="s">
        <v>7</v>
      </c>
      <c r="J27" s="3" t="s">
        <v>8</v>
      </c>
      <c r="K27" s="3" t="s">
        <v>9</v>
      </c>
      <c r="L27" s="3" t="s">
        <v>10</v>
      </c>
    </row>
    <row r="28" spans="3:12" x14ac:dyDescent="0.25">
      <c r="F28" s="10" t="s">
        <v>5</v>
      </c>
      <c r="G28" s="3">
        <v>2.2999999999999998</v>
      </c>
      <c r="H28" s="20">
        <f>-0.076+0.817*G28</f>
        <v>1.8030999999999997</v>
      </c>
      <c r="I28" s="22">
        <f>10^G28</f>
        <v>199.52623149688802</v>
      </c>
      <c r="J28" s="22">
        <f>10^H28</f>
        <v>63.547723904861584</v>
      </c>
      <c r="K28" s="25">
        <f>J28/I28</f>
        <v>0.3184930794718725</v>
      </c>
      <c r="L28" s="22">
        <f>1/K28</f>
        <v>3.1397856482728201</v>
      </c>
    </row>
    <row r="29" spans="3:12" x14ac:dyDescent="0.25">
      <c r="F29" s="10" t="s">
        <v>6</v>
      </c>
      <c r="G29" s="2">
        <v>5</v>
      </c>
      <c r="H29" s="20">
        <f>-0.076+0.817*G29</f>
        <v>4.0090000000000003</v>
      </c>
      <c r="I29" s="3">
        <f>10^G29</f>
        <v>100000</v>
      </c>
      <c r="J29" s="23">
        <f>10^H29</f>
        <v>10209.394837076818</v>
      </c>
      <c r="K29" s="25">
        <f>J29/I29</f>
        <v>0.10209394837076817</v>
      </c>
      <c r="L29" s="22">
        <f>1/K29</f>
        <v>9.7948998540869727</v>
      </c>
    </row>
    <row r="30" spans="3:12" x14ac:dyDescent="0.25">
      <c r="F30" s="10" t="s">
        <v>72</v>
      </c>
      <c r="G30" s="3">
        <f t="shared" ref="G30:L30" si="2">AVERAGE(G28:G29)</f>
        <v>3.65</v>
      </c>
      <c r="H30" s="20">
        <f t="shared" si="2"/>
        <v>2.90605</v>
      </c>
      <c r="I30" s="23">
        <f t="shared" si="2"/>
        <v>50099.763115748443</v>
      </c>
      <c r="J30" s="23">
        <f t="shared" si="2"/>
        <v>5136.4712804908395</v>
      </c>
      <c r="K30" s="25">
        <f t="shared" si="2"/>
        <v>0.21029351392132034</v>
      </c>
      <c r="L30" s="32">
        <f t="shared" si="2"/>
        <v>6.4673427511798964</v>
      </c>
    </row>
    <row r="32" spans="3:12" x14ac:dyDescent="0.25">
      <c r="F32" s="4" t="s">
        <v>11</v>
      </c>
    </row>
    <row r="33" spans="6:12" x14ac:dyDescent="0.25">
      <c r="F33" t="s">
        <v>61</v>
      </c>
    </row>
    <row r="34" spans="6:12" x14ac:dyDescent="0.25">
      <c r="F34" t="s">
        <v>13</v>
      </c>
    </row>
    <row r="35" spans="6:12" x14ac:dyDescent="0.25">
      <c r="F35" t="s">
        <v>62</v>
      </c>
    </row>
    <row r="36" spans="6:12" x14ac:dyDescent="0.25">
      <c r="G36" s="3" t="s">
        <v>63</v>
      </c>
      <c r="H36" s="3" t="s">
        <v>54</v>
      </c>
      <c r="I36" s="3" t="s">
        <v>7</v>
      </c>
      <c r="J36" s="3" t="s">
        <v>8</v>
      </c>
      <c r="K36" s="3" t="s">
        <v>9</v>
      </c>
      <c r="L36" s="3" t="s">
        <v>10</v>
      </c>
    </row>
    <row r="37" spans="6:12" x14ac:dyDescent="0.25">
      <c r="F37" t="s">
        <v>15</v>
      </c>
      <c r="G37" s="2">
        <v>2</v>
      </c>
      <c r="H37" s="2">
        <f>-0.61+0.758*G37</f>
        <v>0.90600000000000003</v>
      </c>
      <c r="I37" s="18">
        <f>10^(G37)</f>
        <v>100</v>
      </c>
      <c r="J37" s="17">
        <f>10^(H37)</f>
        <v>8.0537844119906659</v>
      </c>
      <c r="K37" s="15">
        <f>J37/I37</f>
        <v>8.0537844119906665E-2</v>
      </c>
      <c r="L37" s="5">
        <f>1/K37</f>
        <v>12.416523075924109</v>
      </c>
    </row>
    <row r="38" spans="6:12" x14ac:dyDescent="0.25">
      <c r="F38" t="s">
        <v>14</v>
      </c>
      <c r="G38" s="2">
        <v>5.5</v>
      </c>
      <c r="H38" s="2">
        <f>-0.61+0.758*G38</f>
        <v>3.5590000000000006</v>
      </c>
      <c r="I38" s="19">
        <f>10^(G38)</f>
        <v>316227.7660168382</v>
      </c>
      <c r="J38" s="16">
        <f>10^(H38)</f>
        <v>3622.4299841669954</v>
      </c>
      <c r="K38" s="15">
        <f>J38/I38</f>
        <v>1.1455129414455376E-2</v>
      </c>
      <c r="L38" s="5">
        <f>1/K38</f>
        <v>87.297136838811014</v>
      </c>
    </row>
    <row r="39" spans="6:12" x14ac:dyDescent="0.25">
      <c r="H39" s="2"/>
      <c r="I39" s="5"/>
      <c r="J39" s="5"/>
      <c r="K39" s="5"/>
      <c r="L39" s="5"/>
    </row>
    <row r="40" spans="6:12" x14ac:dyDescent="0.25">
      <c r="G40" t="s">
        <v>64</v>
      </c>
      <c r="H40" s="2"/>
      <c r="I40" s="5"/>
      <c r="J40" s="5"/>
      <c r="K40" s="5"/>
      <c r="L40" s="5"/>
    </row>
    <row r="41" spans="6:12" x14ac:dyDescent="0.25">
      <c r="G41" s="2">
        <f>AVERAGE(G37:G38)</f>
        <v>3.75</v>
      </c>
      <c r="H41" s="2">
        <f>-0.61+0.758*G41</f>
        <v>2.2325000000000004</v>
      </c>
      <c r="I41" s="5">
        <f>10^(G41)</f>
        <v>5623.4132519034993</v>
      </c>
      <c r="J41" s="5">
        <f>10^(H41)</f>
        <v>170.8047720059711</v>
      </c>
      <c r="K41" s="14">
        <f>J41/I41</f>
        <v>3.0373860919461055E-2</v>
      </c>
      <c r="L41" s="5">
        <f>AVERAGE(L37:L38)</f>
        <v>49.856829957367559</v>
      </c>
    </row>
    <row r="42" spans="6:12" x14ac:dyDescent="0.25">
      <c r="G42" s="2"/>
      <c r="H42" s="2"/>
      <c r="I42" s="5"/>
      <c r="J42" s="5"/>
      <c r="K42" s="14"/>
      <c r="L42" s="5"/>
    </row>
    <row r="43" spans="6:12" x14ac:dyDescent="0.25">
      <c r="F43" s="4" t="s">
        <v>99</v>
      </c>
    </row>
    <row r="44" spans="6:12" x14ac:dyDescent="0.25">
      <c r="F44" t="s">
        <v>100</v>
      </c>
    </row>
    <row r="45" spans="6:12" x14ac:dyDescent="0.25">
      <c r="G45" s="3" t="s">
        <v>63</v>
      </c>
      <c r="H45" s="3" t="s">
        <v>54</v>
      </c>
      <c r="I45" s="3" t="s">
        <v>7</v>
      </c>
      <c r="J45" s="3" t="s">
        <v>8</v>
      </c>
      <c r="K45" s="3" t="s">
        <v>9</v>
      </c>
      <c r="L45" s="3" t="s">
        <v>10</v>
      </c>
    </row>
    <row r="46" spans="6:12" x14ac:dyDescent="0.25">
      <c r="F46" t="s">
        <v>15</v>
      </c>
      <c r="G46" s="2">
        <v>2</v>
      </c>
      <c r="H46" s="2">
        <f>-0.46+0.866*G46</f>
        <v>1.272</v>
      </c>
      <c r="I46" s="18">
        <f>10^(G46)</f>
        <v>100</v>
      </c>
      <c r="J46" s="17">
        <f>10^(H46)</f>
        <v>18.706821403658012</v>
      </c>
      <c r="K46" s="15">
        <f>J46/I46</f>
        <v>0.18706821403658011</v>
      </c>
      <c r="L46" s="5">
        <f>1/K46</f>
        <v>5.3456435939697151</v>
      </c>
    </row>
    <row r="47" spans="6:12" x14ac:dyDescent="0.25">
      <c r="F47" t="s">
        <v>14</v>
      </c>
      <c r="G47" s="2">
        <v>7</v>
      </c>
      <c r="H47" s="2">
        <f>-0.46+0.866*G47</f>
        <v>5.6020000000000003</v>
      </c>
      <c r="I47" s="19">
        <f>10^(G47)</f>
        <v>10000000</v>
      </c>
      <c r="J47" s="16">
        <f>10^(H47)</f>
        <v>399944.74976109795</v>
      </c>
      <c r="K47" s="15">
        <f>J47/I47</f>
        <v>3.9994474976109792E-2</v>
      </c>
      <c r="L47" s="5">
        <f>1/K47</f>
        <v>25.003453616964286</v>
      </c>
    </row>
    <row r="48" spans="6:12" x14ac:dyDescent="0.25">
      <c r="H48" s="2"/>
      <c r="I48" s="5"/>
      <c r="J48" s="5"/>
      <c r="K48" s="5"/>
      <c r="L48" s="5"/>
    </row>
    <row r="49" spans="6:14" x14ac:dyDescent="0.25">
      <c r="G49" t="s">
        <v>64</v>
      </c>
      <c r="H49" s="2"/>
      <c r="I49" s="5"/>
      <c r="J49" s="5"/>
      <c r="K49" s="5"/>
      <c r="L49" s="5"/>
    </row>
    <row r="50" spans="6:14" x14ac:dyDescent="0.25">
      <c r="G50" s="2">
        <f t="shared" ref="G50:L50" si="3">AVERAGE(G46:G47)</f>
        <v>4.5</v>
      </c>
      <c r="H50" s="2">
        <f t="shared" si="3"/>
        <v>3.4370000000000003</v>
      </c>
      <c r="I50" s="2">
        <f t="shared" si="3"/>
        <v>5000050</v>
      </c>
      <c r="J50" s="2">
        <f t="shared" si="3"/>
        <v>199981.72829125079</v>
      </c>
      <c r="K50" s="2">
        <f t="shared" si="3"/>
        <v>0.11353134450634494</v>
      </c>
      <c r="L50" s="5">
        <f t="shared" si="3"/>
        <v>15.174548605467001</v>
      </c>
    </row>
    <row r="52" spans="6:14" x14ac:dyDescent="0.25">
      <c r="F52" t="s">
        <v>51</v>
      </c>
    </row>
    <row r="53" spans="6:14" x14ac:dyDescent="0.25">
      <c r="F53" t="s">
        <v>65</v>
      </c>
    </row>
    <row r="54" spans="6:14" x14ac:dyDescent="0.25">
      <c r="G54" s="3" t="s">
        <v>63</v>
      </c>
      <c r="H54" s="3" t="s">
        <v>54</v>
      </c>
      <c r="I54" s="3" t="s">
        <v>7</v>
      </c>
      <c r="J54" s="3" t="s">
        <v>8</v>
      </c>
      <c r="K54" s="3" t="s">
        <v>9</v>
      </c>
      <c r="L54" s="3" t="s">
        <v>10</v>
      </c>
    </row>
    <row r="55" spans="6:14" x14ac:dyDescent="0.25">
      <c r="F55" s="10" t="s">
        <v>52</v>
      </c>
      <c r="G55" s="2">
        <v>2</v>
      </c>
      <c r="H55" s="13">
        <f>-0.541+0.811*G55</f>
        <v>1.081</v>
      </c>
      <c r="I55" s="17">
        <f>10^(G55)</f>
        <v>100</v>
      </c>
      <c r="J55" s="13">
        <f>10^(H55)</f>
        <v>12.050359403717977</v>
      </c>
      <c r="K55" s="15">
        <f>J55/I55</f>
        <v>0.12050359403717976</v>
      </c>
      <c r="L55" s="13">
        <f>1/K55</f>
        <v>8.2985076751442239</v>
      </c>
    </row>
    <row r="56" spans="6:14" x14ac:dyDescent="0.25">
      <c r="F56" s="10" t="s">
        <v>53</v>
      </c>
      <c r="G56" s="2">
        <v>7</v>
      </c>
      <c r="H56" s="13">
        <f>-0.541+0.811*G56</f>
        <v>5.1360000000000001</v>
      </c>
      <c r="I56" s="16">
        <f>10^(G56)</f>
        <v>10000000</v>
      </c>
      <c r="J56" s="13">
        <f>10^(H56)</f>
        <v>136772.88255958509</v>
      </c>
      <c r="K56" s="15">
        <f>J56/I56</f>
        <v>1.3677288255958509E-2</v>
      </c>
      <c r="L56" s="13">
        <f>1/K56</f>
        <v>73.113908348341653</v>
      </c>
    </row>
    <row r="57" spans="6:14" x14ac:dyDescent="0.25">
      <c r="K57" s="33">
        <f>AVERAGE(K55:K56)</f>
        <v>6.7090441146569132E-2</v>
      </c>
      <c r="L57" s="12">
        <f>AVERAGE(L55:L56)</f>
        <v>40.706208011742937</v>
      </c>
    </row>
    <row r="58" spans="6:14" x14ac:dyDescent="0.25">
      <c r="F58" t="s">
        <v>75</v>
      </c>
    </row>
    <row r="59" spans="6:14" x14ac:dyDescent="0.25">
      <c r="F59" t="s">
        <v>80</v>
      </c>
      <c r="G59" s="3" t="s">
        <v>63</v>
      </c>
      <c r="H59" s="3" t="s">
        <v>54</v>
      </c>
      <c r="I59" s="3" t="s">
        <v>7</v>
      </c>
      <c r="J59" s="3" t="s">
        <v>8</v>
      </c>
      <c r="K59" s="3" t="s">
        <v>9</v>
      </c>
      <c r="L59" s="3" t="s">
        <v>10</v>
      </c>
    </row>
    <row r="60" spans="6:14" x14ac:dyDescent="0.25">
      <c r="F60" s="10" t="s">
        <v>52</v>
      </c>
      <c r="G60">
        <v>1.7</v>
      </c>
      <c r="H60">
        <f>-1.026+1.088*G60</f>
        <v>0.82360000000000011</v>
      </c>
      <c r="I60" s="26">
        <f>10^G60</f>
        <v>50.118723362727238</v>
      </c>
      <c r="J60" s="26">
        <f>10^H60</f>
        <v>6.6619290022345563</v>
      </c>
      <c r="K60" s="28">
        <f>J60/I60</f>
        <v>0.13292295883156838</v>
      </c>
      <c r="L60" s="26">
        <f>1/K60</f>
        <v>7.5231548318687151</v>
      </c>
    </row>
    <row r="61" spans="6:14" x14ac:dyDescent="0.25">
      <c r="F61" s="10" t="s">
        <v>53</v>
      </c>
      <c r="G61">
        <v>3.3</v>
      </c>
      <c r="H61">
        <f>-1.026+1.088*G61</f>
        <v>2.5644</v>
      </c>
      <c r="I61" s="26">
        <f>10^G61</f>
        <v>1995.2623149688804</v>
      </c>
      <c r="J61" s="26">
        <f>10^H61</f>
        <v>366.77523159949544</v>
      </c>
      <c r="K61" s="28">
        <f>J61/I61</f>
        <v>0.18382306368835313</v>
      </c>
      <c r="L61" s="26">
        <f>1/K61</f>
        <v>5.440013782467271</v>
      </c>
    </row>
    <row r="62" spans="6:14" x14ac:dyDescent="0.25">
      <c r="F62" s="10" t="s">
        <v>72</v>
      </c>
      <c r="G62">
        <f t="shared" ref="G62:L62" si="4">AVERAGE(G60:G61)</f>
        <v>2.5</v>
      </c>
      <c r="H62">
        <f t="shared" si="4"/>
        <v>1.694</v>
      </c>
      <c r="I62" s="26">
        <f t="shared" si="4"/>
        <v>1022.6905191658038</v>
      </c>
      <c r="J62" s="26">
        <f t="shared" si="4"/>
        <v>186.718580300865</v>
      </c>
      <c r="K62" s="28">
        <f t="shared" si="4"/>
        <v>0.15837301125996076</v>
      </c>
      <c r="L62" s="26">
        <f t="shared" si="4"/>
        <v>6.4815843071679931</v>
      </c>
    </row>
    <row r="63" spans="6:14" x14ac:dyDescent="0.25">
      <c r="F63" t="s">
        <v>76</v>
      </c>
      <c r="N63" t="s">
        <v>83</v>
      </c>
    </row>
    <row r="64" spans="6:14" x14ac:dyDescent="0.25">
      <c r="F64" t="s">
        <v>79</v>
      </c>
      <c r="G64" s="3" t="s">
        <v>63</v>
      </c>
      <c r="H64" s="3" t="s">
        <v>54</v>
      </c>
      <c r="I64" s="3" t="s">
        <v>7</v>
      </c>
      <c r="J64" s="3" t="s">
        <v>8</v>
      </c>
      <c r="K64" s="3" t="s">
        <v>9</v>
      </c>
      <c r="L64" s="3" t="s">
        <v>10</v>
      </c>
      <c r="N64" s="29">
        <f>AVERAGE(L62,L67,L73,L79)</f>
        <v>9.1463126700491646</v>
      </c>
    </row>
    <row r="65" spans="6:14" x14ac:dyDescent="0.25">
      <c r="F65" s="10" t="s">
        <v>52</v>
      </c>
      <c r="G65">
        <v>1.7</v>
      </c>
      <c r="H65">
        <f>-1.694+1.2184*G65</f>
        <v>0.37727999999999984</v>
      </c>
      <c r="I65" s="26">
        <f t="shared" ref="I65:J67" si="5">10^G65</f>
        <v>50.118723362727238</v>
      </c>
      <c r="J65" s="26">
        <f t="shared" si="5"/>
        <v>2.3838559027161956</v>
      </c>
      <c r="K65" s="28">
        <f>J65/I65</f>
        <v>4.7564178470057436E-2</v>
      </c>
      <c r="L65" s="26">
        <f>1/K65</f>
        <v>21.024225208252449</v>
      </c>
    </row>
    <row r="66" spans="6:14" x14ac:dyDescent="0.25">
      <c r="F66" s="10" t="s">
        <v>53</v>
      </c>
      <c r="G66">
        <v>3.3</v>
      </c>
      <c r="H66">
        <f>-1.694+1.2184*G66</f>
        <v>2.3267199999999999</v>
      </c>
      <c r="I66" s="26">
        <f t="shared" si="5"/>
        <v>1995.2623149688804</v>
      </c>
      <c r="J66" s="26">
        <f t="shared" si="5"/>
        <v>212.18759968954961</v>
      </c>
      <c r="K66" s="28">
        <f>J66/I66</f>
        <v>0.10634571609841638</v>
      </c>
      <c r="L66" s="26">
        <f>1/K66</f>
        <v>9.4032936792165831</v>
      </c>
      <c r="N66" t="s">
        <v>84</v>
      </c>
    </row>
    <row r="67" spans="6:14" ht="14.1" customHeight="1" x14ac:dyDescent="0.25">
      <c r="F67" s="10" t="s">
        <v>72</v>
      </c>
      <c r="G67">
        <f>AVERAGE(G65:G66)</f>
        <v>2.5</v>
      </c>
      <c r="H67">
        <f>-1.694+1.2184*G67</f>
        <v>1.3519999999999999</v>
      </c>
      <c r="I67" s="26">
        <f t="shared" si="5"/>
        <v>316.22776601683825</v>
      </c>
      <c r="J67" s="26">
        <f t="shared" si="5"/>
        <v>22.490546058357811</v>
      </c>
      <c r="K67" s="28">
        <f>J67/I67</f>
        <v>7.1121351365332833E-2</v>
      </c>
      <c r="L67" s="26">
        <f>AVERAGE(L65:L66)</f>
        <v>15.213759443734517</v>
      </c>
      <c r="N67" s="30">
        <f>AVERAGE(K62,K67,K73,K79)</f>
        <v>0.12759712274894427</v>
      </c>
    </row>
    <row r="68" spans="6:14" ht="14.1" customHeight="1" x14ac:dyDescent="0.25">
      <c r="F68" s="10"/>
      <c r="I68" s="26"/>
      <c r="J68" s="26"/>
      <c r="K68" s="28"/>
      <c r="L68" s="26"/>
    </row>
    <row r="69" spans="6:14" ht="14.1" customHeight="1" x14ac:dyDescent="0.25">
      <c r="F69" t="s">
        <v>77</v>
      </c>
    </row>
    <row r="70" spans="6:14" ht="14.1" customHeight="1" x14ac:dyDescent="0.25">
      <c r="F70" t="s">
        <v>78</v>
      </c>
      <c r="G70" s="3" t="s">
        <v>63</v>
      </c>
      <c r="H70" s="3" t="s">
        <v>54</v>
      </c>
      <c r="I70" s="3" t="s">
        <v>7</v>
      </c>
      <c r="J70" s="3" t="s">
        <v>8</v>
      </c>
      <c r="K70" s="3" t="s">
        <v>9</v>
      </c>
      <c r="L70" s="3" t="s">
        <v>10</v>
      </c>
    </row>
    <row r="71" spans="6:14" ht="14.1" customHeight="1" x14ac:dyDescent="0.25">
      <c r="F71" s="10" t="s">
        <v>52</v>
      </c>
      <c r="G71">
        <v>1.7</v>
      </c>
      <c r="H71">
        <f>-0.545+0.886*G71</f>
        <v>0.96119999999999994</v>
      </c>
      <c r="I71" s="26">
        <f>10^G71</f>
        <v>50.118723362727238</v>
      </c>
      <c r="J71" s="26">
        <f>10^H71</f>
        <v>9.1453430312046038</v>
      </c>
      <c r="K71" s="28">
        <f>J71/I71</f>
        <v>0.18247358307625805</v>
      </c>
      <c r="L71" s="26">
        <f>1/K71</f>
        <v>5.4802453217685061</v>
      </c>
    </row>
    <row r="72" spans="6:14" x14ac:dyDescent="0.25">
      <c r="F72" s="10" t="s">
        <v>53</v>
      </c>
      <c r="G72">
        <v>3.3</v>
      </c>
      <c r="H72">
        <f>-0.545+0.886*G72</f>
        <v>2.3788</v>
      </c>
      <c r="I72" s="26">
        <f>10^G72</f>
        <v>1995.2623149688804</v>
      </c>
      <c r="J72" s="26">
        <f>10^H72</f>
        <v>239.22138475120562</v>
      </c>
      <c r="K72" s="28">
        <f>J72/I72</f>
        <v>0.11989470404794203</v>
      </c>
      <c r="L72" s="26">
        <f>1/K72</f>
        <v>8.3406519740866312</v>
      </c>
    </row>
    <row r="73" spans="6:14" x14ac:dyDescent="0.25">
      <c r="F73" s="10" t="s">
        <v>72</v>
      </c>
      <c r="G73">
        <f t="shared" ref="G73:L73" si="6">AVERAGE(G71:G72)</f>
        <v>2.5</v>
      </c>
      <c r="H73">
        <f t="shared" si="6"/>
        <v>1.67</v>
      </c>
      <c r="I73" s="26">
        <f t="shared" si="6"/>
        <v>1022.6905191658038</v>
      </c>
      <c r="J73" s="26">
        <f t="shared" si="6"/>
        <v>124.18336389120512</v>
      </c>
      <c r="K73" s="28">
        <f t="shared" si="6"/>
        <v>0.15118414356210003</v>
      </c>
      <c r="L73" s="26">
        <f t="shared" si="6"/>
        <v>6.9104486479275682</v>
      </c>
    </row>
    <row r="74" spans="6:14" x14ac:dyDescent="0.25">
      <c r="F74" s="10"/>
      <c r="I74" s="26"/>
      <c r="J74" s="26"/>
      <c r="K74" s="28"/>
      <c r="L74" s="26"/>
    </row>
    <row r="75" spans="6:14" x14ac:dyDescent="0.25">
      <c r="F75" t="s">
        <v>81</v>
      </c>
    </row>
    <row r="76" spans="6:14" x14ac:dyDescent="0.25">
      <c r="F76" t="s">
        <v>82</v>
      </c>
      <c r="G76" s="3" t="s">
        <v>63</v>
      </c>
      <c r="H76" s="3" t="s">
        <v>54</v>
      </c>
      <c r="I76" s="3" t="s">
        <v>7</v>
      </c>
      <c r="J76" s="3" t="s">
        <v>8</v>
      </c>
      <c r="K76" s="3" t="s">
        <v>9</v>
      </c>
      <c r="L76" s="3" t="s">
        <v>10</v>
      </c>
    </row>
    <row r="77" spans="6:14" x14ac:dyDescent="0.25">
      <c r="F77" s="10" t="s">
        <v>52</v>
      </c>
      <c r="G77">
        <v>1.7</v>
      </c>
      <c r="H77">
        <f>-0.642+0.899*G77</f>
        <v>0.88629999999999998</v>
      </c>
      <c r="I77" s="26">
        <f>10^G77</f>
        <v>50.118723362727238</v>
      </c>
      <c r="J77" s="26">
        <f>10^H77</f>
        <v>7.6966192031808696</v>
      </c>
      <c r="K77" s="28">
        <f>J77/I77</f>
        <v>0.15356774248772592</v>
      </c>
      <c r="L77" s="26">
        <f>1/K77</f>
        <v>6.5117842054618089</v>
      </c>
    </row>
    <row r="78" spans="6:14" x14ac:dyDescent="0.25">
      <c r="F78" s="10" t="s">
        <v>53</v>
      </c>
      <c r="G78">
        <v>3.3</v>
      </c>
      <c r="H78">
        <f>-0.642+0.899*G78</f>
        <v>2.3247</v>
      </c>
      <c r="I78" s="26">
        <f>10^G78</f>
        <v>1995.2623149688804</v>
      </c>
      <c r="J78" s="26">
        <f>10^H78</f>
        <v>211.20295974610204</v>
      </c>
      <c r="K78" s="28">
        <f>J78/I78</f>
        <v>0.10585222712904098</v>
      </c>
      <c r="L78" s="26">
        <f>1/K78</f>
        <v>9.4471323572713573</v>
      </c>
    </row>
    <row r="79" spans="6:14" x14ac:dyDescent="0.25">
      <c r="F79" s="10" t="s">
        <v>72</v>
      </c>
      <c r="G79">
        <f t="shared" ref="G79:L79" si="7">AVERAGE(G77:G78)</f>
        <v>2.5</v>
      </c>
      <c r="H79">
        <f t="shared" si="7"/>
        <v>1.6054999999999999</v>
      </c>
      <c r="I79" s="26">
        <f t="shared" si="7"/>
        <v>1022.6905191658038</v>
      </c>
      <c r="J79" s="26">
        <f t="shared" si="7"/>
        <v>109.44978947464145</v>
      </c>
      <c r="K79" s="28">
        <f t="shared" si="7"/>
        <v>0.12970998480838344</v>
      </c>
      <c r="L79" s="26">
        <f t="shared" si="7"/>
        <v>7.9794582813665826</v>
      </c>
    </row>
    <row r="80" spans="6:14" x14ac:dyDescent="0.25">
      <c r="F80" s="10"/>
      <c r="I80" s="26"/>
      <c r="J80" s="26"/>
      <c r="K80" s="28"/>
      <c r="L80" s="26"/>
    </row>
    <row r="82" spans="3:12" x14ac:dyDescent="0.25">
      <c r="G82" s="3"/>
      <c r="H82" s="3"/>
      <c r="I82" s="3"/>
      <c r="J82" s="3"/>
      <c r="K82" s="3"/>
      <c r="L82" s="3"/>
    </row>
    <row r="83" spans="3:12" x14ac:dyDescent="0.25">
      <c r="F83" s="10"/>
      <c r="I83" s="26"/>
      <c r="J83" s="26"/>
      <c r="K83" s="28"/>
      <c r="L83" s="26"/>
    </row>
    <row r="84" spans="3:12" x14ac:dyDescent="0.25">
      <c r="F84" s="10"/>
      <c r="I84" s="26"/>
      <c r="J84" s="26"/>
      <c r="K84" s="28"/>
      <c r="L84" s="26"/>
    </row>
    <row r="85" spans="3:12" x14ac:dyDescent="0.25">
      <c r="F85" s="10"/>
      <c r="I85" s="26"/>
      <c r="J85" s="26"/>
      <c r="K85" s="28"/>
      <c r="L85" s="26"/>
    </row>
    <row r="86" spans="3:12" x14ac:dyDescent="0.25">
      <c r="C86" s="4" t="s">
        <v>50</v>
      </c>
    </row>
    <row r="87" spans="3:12" x14ac:dyDescent="0.25">
      <c r="C87" s="4"/>
    </row>
    <row r="88" spans="3:12" x14ac:dyDescent="0.25">
      <c r="C88" s="7" t="s">
        <v>21</v>
      </c>
      <c r="D88" t="s">
        <v>66</v>
      </c>
    </row>
    <row r="89" spans="3:12" x14ac:dyDescent="0.25">
      <c r="C89" s="4"/>
      <c r="D89" s="11" t="s">
        <v>43</v>
      </c>
    </row>
    <row r="90" spans="3:12" x14ac:dyDescent="0.25">
      <c r="C90" s="4"/>
      <c r="D90" t="s">
        <v>67</v>
      </c>
    </row>
    <row r="91" spans="3:12" x14ac:dyDescent="0.25">
      <c r="C91" s="4"/>
      <c r="D91" t="s">
        <v>31</v>
      </c>
    </row>
    <row r="92" spans="3:12" x14ac:dyDescent="0.25">
      <c r="C92" s="4"/>
      <c r="D92" t="s">
        <v>32</v>
      </c>
      <c r="G92" t="s">
        <v>33</v>
      </c>
      <c r="I92" t="s">
        <v>49</v>
      </c>
    </row>
    <row r="93" spans="3:12" x14ac:dyDescent="0.25">
      <c r="C93" s="4"/>
      <c r="F93" s="10" t="s">
        <v>37</v>
      </c>
      <c r="G93">
        <v>44</v>
      </c>
    </row>
    <row r="94" spans="3:12" x14ac:dyDescent="0.25">
      <c r="C94" s="4"/>
      <c r="F94" t="s">
        <v>38</v>
      </c>
      <c r="G94">
        <f>G93*1000000000000</f>
        <v>44000000000000</v>
      </c>
      <c r="I94" t="s">
        <v>44</v>
      </c>
      <c r="J94">
        <v>45</v>
      </c>
    </row>
    <row r="95" spans="3:12" x14ac:dyDescent="0.25">
      <c r="C95" s="4"/>
      <c r="F95" t="s">
        <v>34</v>
      </c>
      <c r="G95">
        <v>0.55000000000000004</v>
      </c>
      <c r="I95" t="s">
        <v>45</v>
      </c>
      <c r="J95">
        <v>5.5</v>
      </c>
    </row>
    <row r="96" spans="3:12" x14ac:dyDescent="0.25">
      <c r="C96" s="4"/>
      <c r="F96" t="s">
        <v>39</v>
      </c>
      <c r="G96">
        <f>G94*G95</f>
        <v>24200000000000</v>
      </c>
      <c r="I96" t="s">
        <v>46</v>
      </c>
      <c r="J96">
        <f>G96*J94</f>
        <v>1089000000000000</v>
      </c>
    </row>
    <row r="97" spans="3:12" x14ac:dyDescent="0.25">
      <c r="C97" s="4"/>
      <c r="F97" t="s">
        <v>42</v>
      </c>
      <c r="G97">
        <v>20000</v>
      </c>
      <c r="I97" t="s">
        <v>47</v>
      </c>
      <c r="J97">
        <f>J96*J95</f>
        <v>5989500000000000</v>
      </c>
    </row>
    <row r="98" spans="3:12" x14ac:dyDescent="0.25">
      <c r="C98" s="4"/>
      <c r="F98" t="s">
        <v>35</v>
      </c>
      <c r="G98">
        <f>0.00429*(G97^0.917)</f>
        <v>37.713930656413815</v>
      </c>
      <c r="I98" t="s">
        <v>48</v>
      </c>
      <c r="J98">
        <f>J97/1000000000000000</f>
        <v>5.9894999999999996</v>
      </c>
    </row>
    <row r="99" spans="3:12" x14ac:dyDescent="0.25">
      <c r="C99" s="4"/>
      <c r="F99" t="s">
        <v>36</v>
      </c>
      <c r="G99">
        <f>G96/G98</f>
        <v>641672707638.72046</v>
      </c>
    </row>
    <row r="100" spans="3:12" x14ac:dyDescent="0.25">
      <c r="C100" s="4"/>
      <c r="F100" t="s">
        <v>40</v>
      </c>
      <c r="G100">
        <f>G99*G97*1.026</f>
        <v>1.3167123960746544E+16</v>
      </c>
    </row>
    <row r="101" spans="3:12" x14ac:dyDescent="0.25">
      <c r="C101" s="4"/>
      <c r="F101" t="s">
        <v>41</v>
      </c>
      <c r="G101">
        <f>G100/1000000000000000</f>
        <v>13.167123960746544</v>
      </c>
    </row>
    <row r="102" spans="3:12" x14ac:dyDescent="0.25">
      <c r="C102" s="4"/>
    </row>
    <row r="103" spans="3:12" x14ac:dyDescent="0.25">
      <c r="D103" t="s">
        <v>30</v>
      </c>
    </row>
    <row r="104" spans="3:12" x14ac:dyDescent="0.25">
      <c r="D104" t="s">
        <v>68</v>
      </c>
    </row>
    <row r="106" spans="3:12" x14ac:dyDescent="0.25">
      <c r="F106" s="8" t="s">
        <v>20</v>
      </c>
      <c r="G106" s="3" t="s">
        <v>69</v>
      </c>
      <c r="H106" s="3" t="s">
        <v>19</v>
      </c>
      <c r="I106" s="2"/>
      <c r="J106" s="2"/>
      <c r="K106" s="2"/>
      <c r="L106" s="2"/>
    </row>
    <row r="107" spans="3:12" x14ac:dyDescent="0.25">
      <c r="E107" t="s">
        <v>24</v>
      </c>
      <c r="F107" t="s">
        <v>17</v>
      </c>
      <c r="G107" s="2">
        <v>2.2000000000000002</v>
      </c>
      <c r="H107" s="5">
        <f>EXP(G107)</f>
        <v>9.025013499434122</v>
      </c>
      <c r="I107" s="2"/>
      <c r="J107" s="2"/>
      <c r="K107" s="2"/>
      <c r="L107" s="2"/>
    </row>
    <row r="108" spans="3:12" x14ac:dyDescent="0.25">
      <c r="F108" t="s">
        <v>18</v>
      </c>
      <c r="G108" s="2">
        <v>3.2</v>
      </c>
      <c r="H108" s="5">
        <f>EXP(G108)</f>
        <v>24.532530197109352</v>
      </c>
      <c r="I108" s="2"/>
      <c r="J108" s="2"/>
      <c r="K108" s="2"/>
      <c r="L108" s="2"/>
    </row>
    <row r="110" spans="3:12" x14ac:dyDescent="0.25">
      <c r="E110" t="s">
        <v>25</v>
      </c>
      <c r="F110" t="s">
        <v>23</v>
      </c>
      <c r="G110">
        <v>0.6</v>
      </c>
    </row>
    <row r="111" spans="3:12" x14ac:dyDescent="0.25">
      <c r="F111" t="s">
        <v>22</v>
      </c>
      <c r="G111">
        <v>1.1000000000000001</v>
      </c>
    </row>
    <row r="114" spans="6:7" x14ac:dyDescent="0.25">
      <c r="F114" t="s">
        <v>26</v>
      </c>
      <c r="G114" s="9">
        <f>G110/H108</f>
        <v>2.4457322387019725E-2</v>
      </c>
    </row>
    <row r="115" spans="6:7" x14ac:dyDescent="0.25">
      <c r="F115" t="s">
        <v>27</v>
      </c>
      <c r="G115" s="9">
        <f>G111/H107</f>
        <v>0.12188347419856727</v>
      </c>
    </row>
    <row r="117" spans="6:7" x14ac:dyDescent="0.25">
      <c r="F117" t="s">
        <v>28</v>
      </c>
      <c r="G117">
        <f>1/G114</f>
        <v>40.887550328515587</v>
      </c>
    </row>
    <row r="118" spans="6:7" x14ac:dyDescent="0.25">
      <c r="F118" t="s">
        <v>29</v>
      </c>
      <c r="G118">
        <f>1/G115</f>
        <v>8.2045577267582921</v>
      </c>
    </row>
  </sheetData>
  <hyperlinks>
    <hyperlink ref="B2" r:id="rId1" display="https://doi.org/10.4319/lo.2000.45.3.0569" xr:uid="{49B17783-B193-41D8-8E3D-F9FB4FC07EA9}"/>
    <hyperlink ref="B3" r:id="rId2" display="https://doi.org/10.4319/lo.1967.12.3.0411" xr:uid="{C0A9C098-2002-4502-9A0F-F671807BBF78}"/>
  </hyperlinks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AE6-4614-4920-9289-6CC27200F424}">
  <dimension ref="A2:AK58"/>
  <sheetViews>
    <sheetView topLeftCell="B4" workbookViewId="0">
      <selection activeCell="G40" sqref="G40"/>
    </sheetView>
  </sheetViews>
  <sheetFormatPr defaultRowHeight="15" x14ac:dyDescent="0.25"/>
  <cols>
    <col min="3" max="3" width="17.5703125" customWidth="1"/>
    <col min="4" max="4" width="20.140625" customWidth="1"/>
    <col min="6" max="6" width="12.28515625" customWidth="1"/>
    <col min="10" max="10" width="13.5703125" customWidth="1"/>
    <col min="11" max="11" width="13.85546875" customWidth="1"/>
    <col min="12" max="12" width="12.85546875" customWidth="1"/>
    <col min="13" max="13" width="15.5703125" customWidth="1"/>
    <col min="14" max="14" width="14.42578125" customWidth="1"/>
    <col min="16" max="16" width="17.5703125" customWidth="1"/>
  </cols>
  <sheetData>
    <row r="2" spans="1:37" x14ac:dyDescent="0.25">
      <c r="A2" t="s">
        <v>93</v>
      </c>
      <c r="B2">
        <v>5.8</v>
      </c>
      <c r="C2" t="s">
        <v>95</v>
      </c>
    </row>
    <row r="3" spans="1:37" x14ac:dyDescent="0.25">
      <c r="A3" t="s">
        <v>97</v>
      </c>
      <c r="B3">
        <v>0.9</v>
      </c>
    </row>
    <row r="4" spans="1:37" x14ac:dyDescent="0.25">
      <c r="AD4" t="s">
        <v>148</v>
      </c>
      <c r="AE4" t="s">
        <v>118</v>
      </c>
      <c r="AF4" t="s">
        <v>109</v>
      </c>
      <c r="AG4" t="s">
        <v>110</v>
      </c>
      <c r="AH4" t="s">
        <v>130</v>
      </c>
      <c r="AI4" t="s">
        <v>131</v>
      </c>
      <c r="AJ4" t="s">
        <v>132</v>
      </c>
      <c r="AK4" t="s">
        <v>133</v>
      </c>
    </row>
    <row r="5" spans="1:37" ht="15.75" thickBot="1" x14ac:dyDescent="0.3">
      <c r="C5" s="4" t="s">
        <v>85</v>
      </c>
      <c r="D5" s="4" t="s">
        <v>103</v>
      </c>
      <c r="E5" s="4" t="s">
        <v>92</v>
      </c>
      <c r="F5" s="3" t="s">
        <v>102</v>
      </c>
      <c r="G5" s="4" t="s">
        <v>98</v>
      </c>
      <c r="J5" s="4" t="s">
        <v>85</v>
      </c>
      <c r="K5" s="4" t="s">
        <v>96</v>
      </c>
      <c r="L5" s="3" t="s">
        <v>136</v>
      </c>
      <c r="M5" s="4" t="s">
        <v>127</v>
      </c>
      <c r="N5" s="3" t="s">
        <v>137</v>
      </c>
      <c r="O5" s="3" t="s">
        <v>98</v>
      </c>
      <c r="R5" s="4" t="s">
        <v>134</v>
      </c>
      <c r="S5" s="4" t="s">
        <v>138</v>
      </c>
      <c r="T5" s="4" t="s">
        <v>139</v>
      </c>
      <c r="U5" s="3" t="s">
        <v>98</v>
      </c>
      <c r="AD5" s="10" t="s">
        <v>147</v>
      </c>
      <c r="AE5">
        <v>1.1020000000000001</v>
      </c>
      <c r="AF5">
        <v>0.86999999999999988</v>
      </c>
      <c r="AG5">
        <v>0.40600000000000003</v>
      </c>
      <c r="AH5">
        <v>1.5659999999999998</v>
      </c>
      <c r="AI5">
        <v>1.276</v>
      </c>
      <c r="AJ5">
        <v>0.34799999999999998</v>
      </c>
      <c r="AK5">
        <v>0.17399999999999999</v>
      </c>
    </row>
    <row r="6" spans="1:37" ht="16.5" thickTop="1" thickBot="1" x14ac:dyDescent="0.3">
      <c r="C6" t="s">
        <v>21</v>
      </c>
      <c r="D6">
        <v>30</v>
      </c>
      <c r="E6">
        <v>33</v>
      </c>
      <c r="F6">
        <f>$B$2*D6/100*E6</f>
        <v>57.42</v>
      </c>
      <c r="G6" s="27">
        <f>F6/$F$10</f>
        <v>0.61643835616438358</v>
      </c>
      <c r="J6" t="s">
        <v>21</v>
      </c>
      <c r="K6">
        <v>27</v>
      </c>
      <c r="L6">
        <f>$B$2*K6/100</f>
        <v>1.5659999999999998</v>
      </c>
      <c r="M6" s="12">
        <f>'c and chl to ww  vol'!L57</f>
        <v>40.706208011742937</v>
      </c>
      <c r="N6" s="6">
        <f t="shared" ref="N6:N13" si="0">$B$2*K6/100*M6</f>
        <v>63.745921746389435</v>
      </c>
      <c r="O6" s="27">
        <f t="shared" ref="O6:O13" si="1">N6/$N$16</f>
        <v>0.64866690469524335</v>
      </c>
      <c r="R6" t="s">
        <v>118</v>
      </c>
      <c r="S6" s="6">
        <f>L9</f>
        <v>1.1020000000000001</v>
      </c>
      <c r="T6" s="12">
        <f>N9</f>
        <v>6.5018000000000011</v>
      </c>
      <c r="U6" s="9">
        <f>O9</f>
        <v>6.6161134162067606E-2</v>
      </c>
      <c r="X6" s="35"/>
      <c r="AD6" t="s">
        <v>149</v>
      </c>
      <c r="AE6">
        <v>1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</row>
    <row r="7" spans="1:37" ht="15.75" thickBot="1" x14ac:dyDescent="0.3">
      <c r="C7" t="s">
        <v>101</v>
      </c>
      <c r="D7">
        <v>70</v>
      </c>
      <c r="E7">
        <v>8.8000000000000007</v>
      </c>
      <c r="F7">
        <f>$B$2*D7/100*E7</f>
        <v>35.728000000000002</v>
      </c>
      <c r="G7" s="27">
        <f>F7/$F$10</f>
        <v>0.38356164383561647</v>
      </c>
      <c r="J7" t="s">
        <v>86</v>
      </c>
      <c r="K7">
        <v>13</v>
      </c>
      <c r="L7">
        <f t="shared" ref="L7:L13" si="2">$B$2*K7/100</f>
        <v>0.75399999999999989</v>
      </c>
      <c r="M7" s="34">
        <f>'c and chl to ww  vol'!L24</f>
        <v>12.511224590904483</v>
      </c>
      <c r="N7" s="6">
        <f t="shared" si="0"/>
        <v>9.4334633415419784</v>
      </c>
      <c r="O7" s="27">
        <f t="shared" si="1"/>
        <v>9.5993207073841902E-2</v>
      </c>
      <c r="R7" t="s">
        <v>109</v>
      </c>
      <c r="S7" s="6">
        <f>L8+L7</f>
        <v>0.86999999999999988</v>
      </c>
      <c r="T7" s="12">
        <f>N8+N7</f>
        <v>10.183675100678846</v>
      </c>
      <c r="U7" s="9">
        <f>O8+O7</f>
        <v>0.10362722547585597</v>
      </c>
      <c r="X7" s="36"/>
    </row>
    <row r="8" spans="1:37" ht="15.75" thickBot="1" x14ac:dyDescent="0.3">
      <c r="J8" t="s">
        <v>87</v>
      </c>
      <c r="K8">
        <v>2</v>
      </c>
      <c r="L8">
        <f t="shared" si="2"/>
        <v>0.11599999999999999</v>
      </c>
      <c r="M8" s="12">
        <f>'c and chl to ww  vol'!L30</f>
        <v>6.4673427511798964</v>
      </c>
      <c r="N8" s="6">
        <f t="shared" si="0"/>
        <v>0.75021175913686788</v>
      </c>
      <c r="O8" s="27">
        <f t="shared" si="1"/>
        <v>7.6340184020140664E-3</v>
      </c>
      <c r="R8" t="s">
        <v>110</v>
      </c>
      <c r="S8" s="6">
        <f>L10</f>
        <v>0.40600000000000003</v>
      </c>
      <c r="T8" s="12">
        <f>N10</f>
        <v>5.6840000000000002</v>
      </c>
      <c r="U8" s="9">
        <f>O10</f>
        <v>5.7839350114920828E-2</v>
      </c>
      <c r="X8" s="36"/>
    </row>
    <row r="9" spans="1:37" ht="15.75" thickBot="1" x14ac:dyDescent="0.3">
      <c r="J9" t="s">
        <v>88</v>
      </c>
      <c r="K9">
        <v>19</v>
      </c>
      <c r="L9">
        <f t="shared" si="2"/>
        <v>1.1020000000000001</v>
      </c>
      <c r="M9">
        <v>5.9</v>
      </c>
      <c r="N9" s="6">
        <f t="shared" si="0"/>
        <v>6.5018000000000011</v>
      </c>
      <c r="O9" s="27">
        <f t="shared" si="1"/>
        <v>6.6161134162067606E-2</v>
      </c>
      <c r="R9" t="s">
        <v>130</v>
      </c>
      <c r="S9" s="6">
        <f>L6</f>
        <v>1.5659999999999998</v>
      </c>
      <c r="T9" s="12">
        <f>N6</f>
        <v>63.745921746389435</v>
      </c>
      <c r="U9" s="9">
        <f>O6</f>
        <v>0.64866690469524335</v>
      </c>
      <c r="X9" s="36"/>
    </row>
    <row r="10" spans="1:37" ht="15.75" thickBot="1" x14ac:dyDescent="0.3">
      <c r="F10">
        <f>SUM(F6:F7)</f>
        <v>93.147999999999996</v>
      </c>
      <c r="J10" t="s">
        <v>104</v>
      </c>
      <c r="K10">
        <v>7</v>
      </c>
      <c r="L10">
        <f t="shared" si="2"/>
        <v>0.40600000000000003</v>
      </c>
      <c r="M10">
        <v>14</v>
      </c>
      <c r="N10" s="6">
        <f t="shared" si="0"/>
        <v>5.6840000000000002</v>
      </c>
      <c r="O10" s="27">
        <f t="shared" si="1"/>
        <v>5.7839350114920828E-2</v>
      </c>
      <c r="R10" t="s">
        <v>131</v>
      </c>
      <c r="S10" s="6">
        <f>L11</f>
        <v>1.276</v>
      </c>
      <c r="T10" s="12">
        <f t="shared" ref="T10:U12" si="3">N11</f>
        <v>9.8252000000000006</v>
      </c>
      <c r="U10" s="9">
        <f t="shared" si="3"/>
        <v>9.9979448055791717E-2</v>
      </c>
      <c r="X10" s="36"/>
    </row>
    <row r="11" spans="1:37" ht="15.75" thickBot="1" x14ac:dyDescent="0.3">
      <c r="J11" t="s">
        <v>89</v>
      </c>
      <c r="K11">
        <v>22</v>
      </c>
      <c r="L11">
        <f t="shared" si="2"/>
        <v>1.276</v>
      </c>
      <c r="M11" s="12">
        <v>7.7</v>
      </c>
      <c r="N11" s="6">
        <f t="shared" si="0"/>
        <v>9.8252000000000006</v>
      </c>
      <c r="O11" s="27">
        <f t="shared" si="1"/>
        <v>9.9979448055791717E-2</v>
      </c>
      <c r="R11" t="s">
        <v>132</v>
      </c>
      <c r="S11" s="6">
        <f>L12</f>
        <v>0.34799999999999998</v>
      </c>
      <c r="T11" s="12">
        <f t="shared" si="3"/>
        <v>1.4963999999999997</v>
      </c>
      <c r="U11" s="9">
        <f t="shared" si="3"/>
        <v>1.5227094213928132E-2</v>
      </c>
      <c r="X11" s="36"/>
      <c r="AE11" s="10"/>
    </row>
    <row r="12" spans="1:37" ht="15.75" thickBot="1" x14ac:dyDescent="0.3">
      <c r="J12" t="s">
        <v>90</v>
      </c>
      <c r="K12">
        <v>6</v>
      </c>
      <c r="L12">
        <f t="shared" si="2"/>
        <v>0.34799999999999998</v>
      </c>
      <c r="M12">
        <v>4.3</v>
      </c>
      <c r="N12" s="6">
        <f t="shared" si="0"/>
        <v>1.4963999999999997</v>
      </c>
      <c r="O12" s="27">
        <f t="shared" si="1"/>
        <v>1.5227094213928132E-2</v>
      </c>
      <c r="R12" t="s">
        <v>133</v>
      </c>
      <c r="S12" s="6">
        <f>L13</f>
        <v>0.17399999999999999</v>
      </c>
      <c r="T12" s="12">
        <f t="shared" si="3"/>
        <v>0.83519999999999994</v>
      </c>
      <c r="U12" s="9">
        <f t="shared" si="3"/>
        <v>8.4988432821924472E-3</v>
      </c>
      <c r="X12" s="37"/>
    </row>
    <row r="13" spans="1:37" ht="15.75" thickTop="1" x14ac:dyDescent="0.25">
      <c r="J13" t="s">
        <v>91</v>
      </c>
      <c r="K13">
        <v>3</v>
      </c>
      <c r="L13">
        <f t="shared" si="2"/>
        <v>0.17399999999999999</v>
      </c>
      <c r="M13">
        <v>4.8</v>
      </c>
      <c r="N13" s="6">
        <f t="shared" si="0"/>
        <v>0.83519999999999994</v>
      </c>
      <c r="O13" s="27">
        <f t="shared" si="1"/>
        <v>8.4988432821924472E-3</v>
      </c>
      <c r="R13" t="s">
        <v>140</v>
      </c>
      <c r="S13" s="6">
        <f>SUM(S6:S12)</f>
        <v>5.742</v>
      </c>
      <c r="T13" s="6">
        <f>SUM(T6:T12)</f>
        <v>98.272196847068273</v>
      </c>
      <c r="U13" s="6">
        <f>SUM(U6:U12)</f>
        <v>1</v>
      </c>
    </row>
    <row r="14" spans="1:37" x14ac:dyDescent="0.25">
      <c r="O14" s="31">
        <f>SUM(O6:O13)</f>
        <v>0.99999999999999989</v>
      </c>
    </row>
    <row r="16" spans="1:37" x14ac:dyDescent="0.25">
      <c r="J16" t="s">
        <v>135</v>
      </c>
      <c r="K16">
        <f>SUM(K6:K13)</f>
        <v>99</v>
      </c>
      <c r="L16">
        <f>SUM(L6:L13)</f>
        <v>5.7420000000000009</v>
      </c>
      <c r="N16">
        <f>SUM(N6:N13)</f>
        <v>98.272196847068273</v>
      </c>
      <c r="R16" s="4" t="s">
        <v>143</v>
      </c>
      <c r="T16" s="4" t="s">
        <v>142</v>
      </c>
    </row>
    <row r="17" spans="5:22" x14ac:dyDescent="0.25">
      <c r="R17" t="s">
        <v>141</v>
      </c>
      <c r="T17" t="s">
        <v>144</v>
      </c>
    </row>
    <row r="18" spans="5:22" x14ac:dyDescent="0.25">
      <c r="R18">
        <f>T7/(T6+T7)</f>
        <v>0.61033174298192583</v>
      </c>
      <c r="T18">
        <f>T9/(T9+T7)</f>
        <v>0.86225171602457229</v>
      </c>
    </row>
    <row r="20" spans="5:22" x14ac:dyDescent="0.25">
      <c r="E20" t="s">
        <v>105</v>
      </c>
    </row>
    <row r="21" spans="5:22" x14ac:dyDescent="0.25">
      <c r="E21" t="s">
        <v>106</v>
      </c>
    </row>
    <row r="23" spans="5:22" x14ac:dyDescent="0.25">
      <c r="F23" t="s">
        <v>107</v>
      </c>
      <c r="K23" t="s">
        <v>117</v>
      </c>
    </row>
    <row r="24" spans="5:22" x14ac:dyDescent="0.25">
      <c r="G24">
        <v>400</v>
      </c>
      <c r="Q24" t="s">
        <v>122</v>
      </c>
      <c r="R24" t="s">
        <v>123</v>
      </c>
      <c r="U24" t="s">
        <v>145</v>
      </c>
    </row>
    <row r="25" spans="5:22" x14ac:dyDescent="0.25">
      <c r="H25" t="s">
        <v>108</v>
      </c>
      <c r="L25" t="s">
        <v>115</v>
      </c>
      <c r="M25" t="s">
        <v>121</v>
      </c>
      <c r="N25" t="s">
        <v>120</v>
      </c>
      <c r="O25" t="s">
        <v>128</v>
      </c>
      <c r="P25" t="s">
        <v>116</v>
      </c>
      <c r="Q25" t="s">
        <v>94</v>
      </c>
      <c r="U25">
        <f>SUMPRODUCT(L26:L32,M26:M32,N26:N32)</f>
        <v>7532.898750142338</v>
      </c>
    </row>
    <row r="26" spans="5:22" x14ac:dyDescent="0.25">
      <c r="G26" t="s">
        <v>21</v>
      </c>
      <c r="H26">
        <f t="shared" ref="H26:H33" si="4">$G$24*1/K6*M6</f>
        <v>603.05493350730274</v>
      </c>
      <c r="K26" t="s">
        <v>118</v>
      </c>
      <c r="L26">
        <v>0.1</v>
      </c>
      <c r="M26" s="12">
        <f t="shared" ref="M26:M32" si="5">T6</f>
        <v>6.5018000000000011</v>
      </c>
      <c r="N26">
        <v>90</v>
      </c>
      <c r="O26">
        <f>L26*M26*N26</f>
        <v>58.516200000000019</v>
      </c>
      <c r="P26">
        <f>1/M9</f>
        <v>0.16949152542372881</v>
      </c>
      <c r="Q26">
        <f>O26*P26</f>
        <v>9.9180000000000028</v>
      </c>
      <c r="R26">
        <f>(1-L26)*M26*N26*P26</f>
        <v>89.262000000000015</v>
      </c>
      <c r="U26" s="12">
        <f>SUMPRODUCT(L26:L32,M26:M32)</f>
        <v>76.736069256457313</v>
      </c>
    </row>
    <row r="27" spans="5:22" x14ac:dyDescent="0.25">
      <c r="G27" t="s">
        <v>86</v>
      </c>
      <c r="H27">
        <f t="shared" si="4"/>
        <v>384.96075664321489</v>
      </c>
      <c r="K27" t="s">
        <v>109</v>
      </c>
      <c r="L27">
        <v>0.1</v>
      </c>
      <c r="M27" s="12">
        <f t="shared" si="5"/>
        <v>10.183675100678846</v>
      </c>
      <c r="N27">
        <v>50</v>
      </c>
      <c r="O27">
        <f t="shared" ref="O27:O32" si="6">L27*M27*N27</f>
        <v>50.91837550339423</v>
      </c>
      <c r="P27">
        <f>1/M7</f>
        <v>7.9928227067955326E-2</v>
      </c>
      <c r="Q27">
        <f t="shared" ref="Q27:Q32" si="7">O27*P27</f>
        <v>4.0698154791667083</v>
      </c>
      <c r="R27">
        <f t="shared" ref="R27:R32" si="8">(1-L27)*M27*N27*P27</f>
        <v>36.628339312500373</v>
      </c>
      <c r="U27" s="4">
        <f>U25/U26</f>
        <v>98.166335898270518</v>
      </c>
      <c r="V27" t="s">
        <v>146</v>
      </c>
    </row>
    <row r="28" spans="5:22" x14ac:dyDescent="0.25">
      <c r="G28" t="s">
        <v>87</v>
      </c>
      <c r="H28">
        <f t="shared" si="4"/>
        <v>1293.4685502359794</v>
      </c>
      <c r="K28" t="s">
        <v>110</v>
      </c>
      <c r="L28">
        <v>0</v>
      </c>
      <c r="M28" s="12">
        <f t="shared" si="5"/>
        <v>5.6840000000000002</v>
      </c>
      <c r="N28">
        <v>80</v>
      </c>
      <c r="O28">
        <f t="shared" si="6"/>
        <v>0</v>
      </c>
      <c r="P28">
        <f>1/M10</f>
        <v>7.1428571428571425E-2</v>
      </c>
      <c r="Q28">
        <f t="shared" si="7"/>
        <v>0</v>
      </c>
      <c r="R28">
        <f t="shared" si="8"/>
        <v>32.479999999999997</v>
      </c>
    </row>
    <row r="29" spans="5:22" x14ac:dyDescent="0.25">
      <c r="G29" t="s">
        <v>88</v>
      </c>
      <c r="H29">
        <f t="shared" si="4"/>
        <v>124.21052631578949</v>
      </c>
      <c r="K29" t="s">
        <v>111</v>
      </c>
      <c r="L29">
        <v>1</v>
      </c>
      <c r="M29" s="12">
        <f t="shared" si="5"/>
        <v>63.745921746389435</v>
      </c>
      <c r="N29">
        <v>100</v>
      </c>
      <c r="O29">
        <f>L29*M29*N29</f>
        <v>6374.5921746389431</v>
      </c>
      <c r="P29">
        <f>1/M6</f>
        <v>2.4566277451132754E-2</v>
      </c>
      <c r="Q29">
        <f t="shared" si="7"/>
        <v>156.59999999999997</v>
      </c>
      <c r="R29">
        <f>(1-L29)*M29*N29*P29</f>
        <v>0</v>
      </c>
    </row>
    <row r="30" spans="5:22" x14ac:dyDescent="0.25">
      <c r="G30" t="s">
        <v>104</v>
      </c>
      <c r="H30">
        <f t="shared" si="4"/>
        <v>800</v>
      </c>
      <c r="K30" t="s">
        <v>112</v>
      </c>
      <c r="L30">
        <v>1</v>
      </c>
      <c r="M30" s="12">
        <f t="shared" si="5"/>
        <v>9.8252000000000006</v>
      </c>
      <c r="N30">
        <v>90</v>
      </c>
      <c r="O30">
        <f>L30*M30*N30</f>
        <v>884.26800000000003</v>
      </c>
      <c r="P30">
        <f>1/M11</f>
        <v>0.12987012987012986</v>
      </c>
      <c r="Q30">
        <f t="shared" si="7"/>
        <v>114.83999999999999</v>
      </c>
      <c r="R30">
        <f>(1-L30)*M30*N30*P30</f>
        <v>0</v>
      </c>
    </row>
    <row r="31" spans="5:22" x14ac:dyDescent="0.25">
      <c r="G31" t="s">
        <v>89</v>
      </c>
      <c r="H31">
        <f t="shared" si="4"/>
        <v>140.00000000000003</v>
      </c>
      <c r="K31" t="s">
        <v>113</v>
      </c>
      <c r="L31">
        <v>1</v>
      </c>
      <c r="M31" s="12">
        <f t="shared" si="5"/>
        <v>1.4963999999999997</v>
      </c>
      <c r="N31">
        <v>110</v>
      </c>
      <c r="O31">
        <f t="shared" si="6"/>
        <v>164.60399999999996</v>
      </c>
      <c r="P31">
        <f>1/M12</f>
        <v>0.23255813953488372</v>
      </c>
      <c r="Q31">
        <f t="shared" si="7"/>
        <v>38.279999999999987</v>
      </c>
      <c r="R31">
        <f t="shared" si="8"/>
        <v>0</v>
      </c>
    </row>
    <row r="32" spans="5:22" x14ac:dyDescent="0.25">
      <c r="G32" t="s">
        <v>90</v>
      </c>
      <c r="H32">
        <f t="shared" si="4"/>
        <v>286.66666666666669</v>
      </c>
      <c r="K32" t="s">
        <v>114</v>
      </c>
      <c r="L32">
        <v>0</v>
      </c>
      <c r="M32" s="12">
        <f t="shared" si="5"/>
        <v>0.83519999999999994</v>
      </c>
      <c r="N32">
        <v>140</v>
      </c>
      <c r="O32">
        <f t="shared" si="6"/>
        <v>0</v>
      </c>
      <c r="P32">
        <f>1/M13</f>
        <v>0.20833333333333334</v>
      </c>
      <c r="Q32">
        <f t="shared" si="7"/>
        <v>0</v>
      </c>
      <c r="R32">
        <f t="shared" si="8"/>
        <v>24.36</v>
      </c>
    </row>
    <row r="33" spans="4:18" x14ac:dyDescent="0.25">
      <c r="G33" t="s">
        <v>91</v>
      </c>
      <c r="H33">
        <f t="shared" si="4"/>
        <v>640</v>
      </c>
    </row>
    <row r="34" spans="4:18" x14ac:dyDescent="0.25">
      <c r="L34" t="s">
        <v>125</v>
      </c>
      <c r="M34">
        <f>(M26*(1-L26)+M27*(1-L27)+M28*(1-L28)+M32*(1-L32))/SUM(M26:M32)</f>
        <v>0.2191477170712445</v>
      </c>
      <c r="Q34" s="4" t="s">
        <v>119</v>
      </c>
    </row>
    <row r="35" spans="4:18" x14ac:dyDescent="0.25">
      <c r="H35">
        <f>SUM(H26:H32)</f>
        <v>3632.3614333689529</v>
      </c>
      <c r="O35">
        <f>SUM(O26:O31)</f>
        <v>7532.898750142338</v>
      </c>
      <c r="Q35">
        <f>SUM(Q26:Q31)</f>
        <v>323.70781547916664</v>
      </c>
      <c r="R35">
        <f>SUM(R26:R32)</f>
        <v>182.7303393125004</v>
      </c>
    </row>
    <row r="37" spans="4:18" x14ac:dyDescent="0.25">
      <c r="O37" t="s">
        <v>124</v>
      </c>
      <c r="Q37">
        <f>R35/Q35</f>
        <v>0.56449158955898193</v>
      </c>
    </row>
    <row r="38" spans="4:18" x14ac:dyDescent="0.25">
      <c r="D38">
        <v>90</v>
      </c>
      <c r="E38">
        <f>D38*1/364</f>
        <v>0.24725274725274726</v>
      </c>
      <c r="O38" t="s">
        <v>126</v>
      </c>
      <c r="Q38">
        <f>R32/Q35</f>
        <v>7.5253048691275026E-2</v>
      </c>
    </row>
    <row r="39" spans="4:18" x14ac:dyDescent="0.25">
      <c r="D39">
        <v>50</v>
      </c>
      <c r="E39">
        <f t="shared" ref="E39:E44" si="9">D39*1/364</f>
        <v>0.13736263736263737</v>
      </c>
    </row>
    <row r="40" spans="4:18" x14ac:dyDescent="0.25">
      <c r="D40">
        <v>80</v>
      </c>
      <c r="E40">
        <f t="shared" si="9"/>
        <v>0.21978021978021978</v>
      </c>
      <c r="L40">
        <v>9.5</v>
      </c>
      <c r="M40">
        <v>90</v>
      </c>
    </row>
    <row r="41" spans="4:18" x14ac:dyDescent="0.25">
      <c r="D41">
        <v>100</v>
      </c>
      <c r="E41">
        <f t="shared" si="9"/>
        <v>0.27472527472527475</v>
      </c>
      <c r="L41">
        <v>11.5</v>
      </c>
      <c r="M41">
        <v>50</v>
      </c>
    </row>
    <row r="42" spans="4:18" x14ac:dyDescent="0.25">
      <c r="D42">
        <v>90</v>
      </c>
      <c r="E42">
        <f t="shared" si="9"/>
        <v>0.24725274725274726</v>
      </c>
      <c r="L42">
        <v>5</v>
      </c>
      <c r="M42">
        <v>80</v>
      </c>
    </row>
    <row r="43" spans="4:18" x14ac:dyDescent="0.25">
      <c r="D43">
        <v>110</v>
      </c>
      <c r="E43">
        <f t="shared" si="9"/>
        <v>0.30219780219780218</v>
      </c>
      <c r="L43">
        <v>59</v>
      </c>
      <c r="M43">
        <v>100</v>
      </c>
    </row>
    <row r="44" spans="4:18" x14ac:dyDescent="0.25">
      <c r="D44">
        <v>200</v>
      </c>
      <c r="E44">
        <f t="shared" si="9"/>
        <v>0.5494505494505495</v>
      </c>
      <c r="L44">
        <v>12</v>
      </c>
      <c r="M44">
        <v>90</v>
      </c>
    </row>
    <row r="45" spans="4:18" x14ac:dyDescent="0.25">
      <c r="L45">
        <v>3.2</v>
      </c>
      <c r="M45">
        <v>120</v>
      </c>
    </row>
    <row r="46" spans="4:18" x14ac:dyDescent="0.25">
      <c r="L46">
        <v>2.1</v>
      </c>
      <c r="M46">
        <v>240</v>
      </c>
    </row>
    <row r="51" spans="8:27" x14ac:dyDescent="0.25"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8:27" x14ac:dyDescent="0.25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12"/>
    </row>
    <row r="53" spans="8:27" x14ac:dyDescent="0.25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A53" s="12"/>
    </row>
    <row r="54" spans="8:27" x14ac:dyDescent="0.25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AA54" s="12"/>
    </row>
    <row r="55" spans="8:27" x14ac:dyDescent="0.25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AA55" s="12"/>
    </row>
    <row r="57" spans="8:27" x14ac:dyDescent="0.25">
      <c r="U57" s="10"/>
      <c r="V57" s="12"/>
    </row>
    <row r="58" spans="8:27" x14ac:dyDescent="0.25">
      <c r="U58" s="10"/>
      <c r="V58" s="12"/>
    </row>
  </sheetData>
  <mergeCells count="1">
    <mergeCell ref="J51:S51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 redone carbon only</vt:lpstr>
      <vt:lpstr>c and chl to ww  vol</vt:lpstr>
      <vt:lpstr>cross checks convers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2022-06-24T21:41:49Z</dcterms:created>
  <dcterms:modified xsi:type="dcterms:W3CDTF">2025-07-18T16:22:45Z</dcterms:modified>
</cp:coreProperties>
</file>