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nc\PSF\EwE\Georgia Strait 2021\LTL_model\SCRIPTS\"/>
    </mc:Choice>
  </mc:AlternateContent>
  <xr:revisionPtr revIDLastSave="0" documentId="8_{3D50741E-5FE6-4CF9-BB16-895BFF34E321}" xr6:coauthVersionLast="47" xr6:coauthVersionMax="47" xr10:uidLastSave="{00000000-0000-0000-0000-000000000000}"/>
  <bookViews>
    <workbookView xWindow="-120" yWindow="-120" windowWidth="29040" windowHeight="15840" xr2:uid="{C38FC2C9-5C90-46CF-89CA-BC452CCF3AA7}"/>
  </bookViews>
  <sheets>
    <sheet name="Salin-K parameterization" sheetId="2" r:id="rId1"/>
    <sheet name="Old - JB experiments" sheetId="1" r:id="rId2"/>
  </sheets>
  <definedNames>
    <definedName name="a">'Old - JB experiments'!$Q$3</definedName>
    <definedName name="a_2">'Old - JB experiments'!$R$3</definedName>
    <definedName name="b">'Old - JB experiments'!$Q$4</definedName>
    <definedName name="b_2">'Old - JB experiments'!$R$4</definedName>
    <definedName name="c_2">'Old - JB experiments'!$Z$10</definedName>
    <definedName name="cc">'Old - JB experiments'!$Q$5</definedName>
    <definedName name="d">'Old - JB experiments'!$Q$6</definedName>
    <definedName name="d_2">'Old - JB experiments'!$Z$11</definedName>
    <definedName name="e">'Old - JB experiments'!$Q$7</definedName>
    <definedName name="e_2">'Old - JB experiments'!$Z$12</definedName>
    <definedName name="I0">'Old - JB experiments'!$C$6</definedName>
    <definedName name="K">'Old - JB experiments'!$C$7</definedName>
    <definedName name="MixingDepth">'Old - JB experiments'!$C$9</definedName>
    <definedName name="ml">'Old - JB experiments'!$C$5</definedName>
    <definedName name="x">'Old - JB experiments'!$Y$14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6" i="2" l="1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10" i="2"/>
  <c r="N13" i="2"/>
  <c r="AC13" i="2"/>
  <c r="Y10" i="2"/>
  <c r="Y12" i="2" s="1"/>
  <c r="K10" i="2"/>
  <c r="J12" i="2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11" i="2"/>
  <c r="O12" i="2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11" i="2"/>
  <c r="F11" i="2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14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8" i="1"/>
  <c r="N8" i="1" s="1"/>
  <c r="I9" i="1"/>
  <c r="I10" i="1"/>
  <c r="I11" i="1"/>
  <c r="I12" i="1"/>
  <c r="I13" i="1"/>
  <c r="I14" i="1"/>
  <c r="I15" i="1"/>
  <c r="I16" i="1"/>
  <c r="I17" i="1"/>
  <c r="I8" i="1"/>
  <c r="E7" i="1"/>
  <c r="J8" i="1"/>
  <c r="J9" i="1"/>
  <c r="J10" i="1"/>
  <c r="J11" i="1"/>
  <c r="J12" i="1"/>
  <c r="J13" i="1"/>
  <c r="J14" i="1"/>
  <c r="J15" i="1"/>
  <c r="J16" i="1"/>
  <c r="J17" i="1"/>
  <c r="Y11" i="2" l="1"/>
  <c r="R16" i="2"/>
  <c r="Y13" i="2"/>
  <c r="AC14" i="2" s="1"/>
  <c r="G11" i="2"/>
  <c r="K13" i="2" s="1"/>
  <c r="J19" i="1"/>
  <c r="I19" i="1"/>
  <c r="K14" i="2" l="1"/>
  <c r="K33" i="2"/>
  <c r="K37" i="2"/>
  <c r="K30" i="2"/>
  <c r="K23" i="2"/>
  <c r="K34" i="2"/>
  <c r="K27" i="2"/>
  <c r="K17" i="2"/>
  <c r="K28" i="2"/>
  <c r="K21" i="2"/>
  <c r="K18" i="2"/>
  <c r="K11" i="2"/>
  <c r="K20" i="2"/>
  <c r="K25" i="2"/>
  <c r="K12" i="2"/>
  <c r="K22" i="2"/>
  <c r="K15" i="2"/>
  <c r="K31" i="2"/>
  <c r="K24" i="2"/>
  <c r="K29" i="2"/>
  <c r="K32" i="2"/>
  <c r="K26" i="2"/>
  <c r="K16" i="2"/>
  <c r="K19" i="2"/>
  <c r="K35" i="2"/>
  <c r="K36" i="2"/>
</calcChain>
</file>

<file path=xl/sharedStrings.xml><?xml version="1.0" encoding="utf-8"?>
<sst xmlns="http://schemas.openxmlformats.org/spreadsheetml/2006/main" count="59" uniqueCount="54">
  <si>
    <t>Mixing Layer thickness</t>
  </si>
  <si>
    <t>Irradiance at I0</t>
  </si>
  <si>
    <t>CW Equation</t>
  </si>
  <si>
    <t>K</t>
  </si>
  <si>
    <t>depth</t>
  </si>
  <si>
    <t>_-K*z</t>
  </si>
  <si>
    <t>average</t>
  </si>
  <si>
    <t>irradiance</t>
  </si>
  <si>
    <t>average Irradiance from 0 - 10 m</t>
  </si>
  <si>
    <t>Olson eqn</t>
  </si>
  <si>
    <t xml:space="preserve">Ibar = Io(1-exp(-K*Z))/Z </t>
  </si>
  <si>
    <t>Ibar = Io(1-exp(-K*Z))/(K*Z)</t>
  </si>
  <si>
    <t>mixing depth</t>
  </si>
  <si>
    <t>Exponential</t>
  </si>
  <si>
    <t>Polynomial</t>
  </si>
  <si>
    <t>a</t>
  </si>
  <si>
    <t>b</t>
  </si>
  <si>
    <t>c</t>
  </si>
  <si>
    <t>d</t>
  </si>
  <si>
    <t>e</t>
  </si>
  <si>
    <t>Polynamial</t>
  </si>
  <si>
    <t>Expontenial</t>
  </si>
  <si>
    <t>Salinity</t>
  </si>
  <si>
    <t>w exp Salinity Modifier</t>
  </si>
  <si>
    <t>Multiplier</t>
  </si>
  <si>
    <t>Dec 15 2021 - GO</t>
  </si>
  <si>
    <t xml:space="preserve">See write up and </t>
  </si>
  <si>
    <t>Loos, E., Costa, M., &amp; Johannessen, S. (2017). Underwater optical environment in the coastal waters of British Columbia, Canada. FACETS, 2(2), 872–891. https://doi.org/10.1139/facets-2017-0074</t>
  </si>
  <si>
    <t>K assumed</t>
  </si>
  <si>
    <t>K = bS + a</t>
  </si>
  <si>
    <t xml:space="preserve">Salinity </t>
  </si>
  <si>
    <t xml:space="preserve">K </t>
  </si>
  <si>
    <t>Z</t>
  </si>
  <si>
    <t>PAR</t>
  </si>
  <si>
    <t>incoming I</t>
  </si>
  <si>
    <t>PAR mean = I0exp(integral_0toml(-K*z))</t>
  </si>
  <si>
    <t>Original Eqn (Sarmiento &amp; Gruber, 2016) - irradiance at depth z</t>
  </si>
  <si>
    <t>Irradiance AT DEPTH Z (Sarmiento &amp; Gruber, 2016) = I_0 * e^(-K*z)</t>
  </si>
  <si>
    <t>Evaluation</t>
  </si>
  <si>
    <t xml:space="preserve">mean PAR to 1% </t>
  </si>
  <si>
    <t>colored based on &lt; 0.01 (1% is ~ euphotic depth)</t>
  </si>
  <si>
    <t>extracted by approximating linear regression from Fig 5 Loos &amp; Costa 2010 and tuning slightly to match the typical K's using Loos et al 2017 Fig 7 and Table 3</t>
  </si>
  <si>
    <t>Salin 4m (depth chosen from Fig 7 Loos et al 2017)</t>
  </si>
  <si>
    <t>step 1</t>
  </si>
  <si>
    <t>step 2</t>
  </si>
  <si>
    <t>step 3</t>
  </si>
  <si>
    <t>step 4</t>
  </si>
  <si>
    <t>pPar</t>
  </si>
  <si>
    <t>alb</t>
  </si>
  <si>
    <t xml:space="preserve">L0 </t>
  </si>
  <si>
    <t>uPar</t>
  </si>
  <si>
    <t>after reflext</t>
  </si>
  <si>
    <t>testing Olson's way of depth integrating</t>
  </si>
  <si>
    <t>Olson's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</si>
</sst>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'Salin-K parameterization'!$P$10:$P$39</c:f>
              <c:numCache>
                <c:formatCode>General</c:formatCode>
                <c:ptCount val="30"/>
                <c:pt idx="0">
                  <c:v>93.598560000000006</c:v>
                </c:pt>
                <c:pt idx="1">
                  <c:v>69.339518677571021</c:v>
                </c:pt>
                <c:pt idx="2">
                  <c:v>51.367978849644899</c:v>
                </c:pt>
                <c:pt idx="3">
                  <c:v>38.054334691410055</c:v>
                </c:pt>
                <c:pt idx="4">
                  <c:v>28.191344515316967</c:v>
                </c:pt>
                <c:pt idx="5">
                  <c:v>20.884661682462418</c:v>
                </c:pt>
                <c:pt idx="6">
                  <c:v>15.471737907141463</c:v>
                </c:pt>
                <c:pt idx="7">
                  <c:v>11.461745347222422</c:v>
                </c:pt>
                <c:pt idx="8">
                  <c:v>8.4910697940362745</c:v>
                </c:pt>
                <c:pt idx="9">
                  <c:v>6.2903392165022352</c:v>
                </c:pt>
                <c:pt idx="10">
                  <c:v>4.6599979058536158</c:v>
                </c:pt>
                <c:pt idx="11">
                  <c:v>3.4522113569950079</c:v>
                </c:pt>
                <c:pt idx="12">
                  <c:v>2.5574610749062607</c:v>
                </c:pt>
                <c:pt idx="13">
                  <c:v>1.8946137629748092</c:v>
                </c:pt>
                <c:pt idx="14">
                  <c:v>1.4035643967660916</c:v>
                </c:pt>
                <c:pt idx="15">
                  <c:v>1.0397860790244648</c:v>
                </c:pt>
                <c:pt idx="16">
                  <c:v>0.77029247295252423</c:v>
                </c:pt>
                <c:pt idx="17">
                  <c:v>0.57064669921720945</c:v>
                </c:pt>
                <c:pt idx="18">
                  <c:v>0.42274547235198862</c:v>
                </c:pt>
                <c:pt idx="19">
                  <c:v>0.31317754862905234</c:v>
                </c:pt>
                <c:pt idx="20">
                  <c:v>0.23200763433283678</c:v>
                </c:pt>
                <c:pt idx="21">
                  <c:v>0.1718754828510268</c:v>
                </c:pt>
                <c:pt idx="22">
                  <c:v>0.1273284893845088</c:v>
                </c:pt>
                <c:pt idx="23">
                  <c:v>9.4327264947922831E-2</c:v>
                </c:pt>
                <c:pt idx="24">
                  <c:v>6.9879356580493171E-2</c:v>
                </c:pt>
                <c:pt idx="25">
                  <c:v>5.1767900604344219E-2</c:v>
                </c:pt>
                <c:pt idx="26">
                  <c:v>3.8350604014138319E-2</c:v>
                </c:pt>
                <c:pt idx="27">
                  <c:v>2.8410826227823097E-2</c:v>
                </c:pt>
                <c:pt idx="28">
                  <c:v>2.1047257734193376E-2</c:v>
                </c:pt>
                <c:pt idx="29">
                  <c:v>1.5592192024874678E-2</c:v>
                </c:pt>
              </c:numCache>
            </c:numRef>
          </c:xVal>
          <c:yVal>
            <c:numRef>
              <c:f>'Salin-K parameterization'!$O$10:$O$39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87-42DC-9A6E-CB3A25A26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06655"/>
        <c:axId val="139695423"/>
      </c:scatterChart>
      <c:valAx>
        <c:axId val="13970665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95423"/>
        <c:crosses val="autoZero"/>
        <c:crossBetween val="midCat"/>
      </c:valAx>
      <c:valAx>
        <c:axId val="13969542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'Salin-K parameterization'!$K$9</c:f>
              <c:strCache>
                <c:ptCount val="1"/>
                <c:pt idx="0">
                  <c:v>K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'Salin-K parameterization'!$J$10:$J$29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xVal>
          <c:yVal>
            <c:numRef>
              <c:f>'Salin-K parameterization'!$K$10:$K$29</c:f>
              <c:numCache>
                <c:formatCode>General</c:formatCode>
                <c:ptCount val="20"/>
                <c:pt idx="0">
                  <c:v>1.3108695652173914</c:v>
                </c:pt>
                <c:pt idx="1">
                  <c:v>1.2478260869565219</c:v>
                </c:pt>
                <c:pt idx="2">
                  <c:v>1.1847826086956523</c:v>
                </c:pt>
                <c:pt idx="3">
                  <c:v>1.1217391304347828</c:v>
                </c:pt>
                <c:pt idx="4">
                  <c:v>1.058695652173913</c:v>
                </c:pt>
                <c:pt idx="5">
                  <c:v>0.9956521739130435</c:v>
                </c:pt>
                <c:pt idx="6">
                  <c:v>0.93260869565217397</c:v>
                </c:pt>
                <c:pt idx="7">
                  <c:v>0.86956521739130443</c:v>
                </c:pt>
                <c:pt idx="8">
                  <c:v>0.8065217391304349</c:v>
                </c:pt>
                <c:pt idx="9">
                  <c:v>0.74347826086956537</c:v>
                </c:pt>
                <c:pt idx="10">
                  <c:v>0.68043478260869583</c:v>
                </c:pt>
                <c:pt idx="11">
                  <c:v>0.61739130434782608</c:v>
                </c:pt>
                <c:pt idx="12">
                  <c:v>0.55434782608695654</c:v>
                </c:pt>
                <c:pt idx="13">
                  <c:v>0.49130434782608701</c:v>
                </c:pt>
                <c:pt idx="14">
                  <c:v>0.42826086956521747</c:v>
                </c:pt>
                <c:pt idx="15">
                  <c:v>0.36521739130434794</c:v>
                </c:pt>
                <c:pt idx="16">
                  <c:v>0.3021739130434784</c:v>
                </c:pt>
                <c:pt idx="17">
                  <c:v>0.23913043478260887</c:v>
                </c:pt>
                <c:pt idx="18">
                  <c:v>0.17608695652173911</c:v>
                </c:pt>
                <c:pt idx="19">
                  <c:v>0.11304347826086958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C-42F4-8B10-4C48EB8FC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199232"/>
        <c:axId val="1289818560"/>
      </c:scatterChart>
      <c:valAx>
        <c:axId val="179819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818560"/>
        <c:crosses val="autoZero"/>
        <c:crossBetween val="midCat"/>
      </c:valAx>
      <c:valAx>
        <c:axId val="12898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19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 Exponential Light Multiplier </a:t>
            </a:r>
          </a:p>
        </c:rich>
      </c:tx>
      <c:layout>
        <c:manualLayout>
          <c:xMode val="edge"/>
          <c:yMode val="edge"/>
          <c:x val="0.1883466464849464"/>
          <c:y val="4.43038195474033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7293829877143072"/>
                  <c:y val="7.3396661050198209E-2"/>
                </c:manualLayout>
              </c:layout>
              <c:numFmt formatCode="#,##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'Old - JB experiments'!$S$3:$S$7</c:f>
              <c:numCache>
                <c:formatCode>General</c:formatCode>
                <c:ptCount val="5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1</c:v>
                </c:pt>
              </c:numCache>
            </c:numRef>
          </c:xVal>
          <c:yVal>
            <c:numRef>
              <c:f>'Old - JB experiments'!$T$3:$T$7</c:f>
              <c:numCache>
                <c:formatCode>General</c:formatCode>
                <c:ptCount val="5"/>
                <c:pt idx="0">
                  <c:v>1</c:v>
                </c:pt>
                <c:pt idx="1">
                  <c:v>0.2</c:v>
                </c:pt>
                <c:pt idx="2">
                  <c:v>0.05</c:v>
                </c:pt>
                <c:pt idx="3">
                  <c:v>5.0000000000000001E-3</c:v>
                </c:pt>
                <c:pt idx="4">
                  <c:v>9.9999999999999995E-7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5-4C46-9EDF-C8278E1EF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443439"/>
        <c:axId val="349445103"/>
      </c:scatterChart>
      <c:valAx>
        <c:axId val="34944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45103"/>
        <c:crosses val="autoZero"/>
        <c:crossBetween val="midCat"/>
      </c:valAx>
      <c:valAx>
        <c:axId val="34944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4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 4th order polynomial Light multiplier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6.2160049439912907E-2"/>
                  <c:y val="5.9856619187882577E-2"/>
                </c:manualLayout>
              </c:layout>
              <c:numFmt formatCode="#,##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'Old - JB experiments'!$S$3:$S$7</c:f>
              <c:numCache>
                <c:formatCode>General</c:formatCode>
                <c:ptCount val="5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1</c:v>
                </c:pt>
              </c:numCache>
            </c:numRef>
          </c:xVal>
          <c:yVal>
            <c:numRef>
              <c:f>'Old - JB experiments'!$T$3:$T$7</c:f>
              <c:numCache>
                <c:formatCode>General</c:formatCode>
                <c:ptCount val="5"/>
                <c:pt idx="0">
                  <c:v>1</c:v>
                </c:pt>
                <c:pt idx="1">
                  <c:v>0.2</c:v>
                </c:pt>
                <c:pt idx="2">
                  <c:v>0.05</c:v>
                </c:pt>
                <c:pt idx="3">
                  <c:v>5.0000000000000001E-3</c:v>
                </c:pt>
                <c:pt idx="4">
                  <c:v>9.9999999999999995E-7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1-41CF-815B-7164F4DD6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083855"/>
        <c:axId val="273084687"/>
      </c:scatterChart>
      <c:valAx>
        <c:axId val="27308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84687"/>
        <c:crosses val="autoZero"/>
        <c:crossBetween val="midCat"/>
      </c:valAx>
      <c:valAx>
        <c:axId val="2730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8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'Old - JB experiments'!$Q$13</c:f>
              <c:strCache>
                <c:ptCount val="1"/>
                <c:pt idx="0">
                  <c:v>Polynomial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'Old - JB experiments'!$P$14:$P$34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'Old - JB experiments'!$Q$14:$Q$34</c:f>
              <c:numCache>
                <c:formatCode>General</c:formatCode>
                <c:ptCount val="21"/>
                <c:pt idx="0">
                  <c:v>2.38236E-2</c:v>
                </c:pt>
                <c:pt idx="1">
                  <c:v>9.9999999999753064E-7</c:v>
                </c:pt>
                <c:pt idx="2">
                  <c:v>-9.6880000000000022E-3</c:v>
                </c:pt>
                <c:pt idx="3">
                  <c:v>-9.7500000000000087E-3</c:v>
                </c:pt>
                <c:pt idx="4">
                  <c:v>-3.8852000000000053E-3</c:v>
                </c:pt>
                <c:pt idx="5">
                  <c:v>5.0126000000000337E-3</c:v>
                </c:pt>
                <c:pt idx="6">
                  <c:v>1.485599999999998E-2</c:v>
                </c:pt>
                <c:pt idx="7">
                  <c:v>2.4363999999999997E-2</c:v>
                </c:pt>
                <c:pt idx="8">
                  <c:v>3.306199999999998E-2</c:v>
                </c:pt>
                <c:pt idx="9">
                  <c:v>4.1281800000000035E-2</c:v>
                </c:pt>
                <c:pt idx="10">
                  <c:v>5.0161600000000084E-2</c:v>
                </c:pt>
                <c:pt idx="11">
                  <c:v>6.164600000000009E-2</c:v>
                </c:pt>
                <c:pt idx="12">
                  <c:v>7.8485999999999945E-2</c:v>
                </c:pt>
                <c:pt idx="13">
                  <c:v>0.10423899999999997</c:v>
                </c:pt>
                <c:pt idx="14">
                  <c:v>0.14326879999999992</c:v>
                </c:pt>
                <c:pt idx="15">
                  <c:v>0.20074560000000025</c:v>
                </c:pt>
                <c:pt idx="16">
                  <c:v>0.2826459999999999</c:v>
                </c:pt>
                <c:pt idx="17">
                  <c:v>0.39575299999999974</c:v>
                </c:pt>
                <c:pt idx="18">
                  <c:v>0.5476559999999997</c:v>
                </c:pt>
                <c:pt idx="19">
                  <c:v>0.74675079999999983</c:v>
                </c:pt>
                <c:pt idx="20">
                  <c:v>1.0022396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52-4B37-B2A1-CF9A3A5AFD01}"/>
            </c:ext>
          </c:extLst>
        </c:ser>
        <c:ser>
          <c:idx val="2"/>
          <c:order val="1"/>
          <c:tx>
            <c:strRef>
              <c:f>'Old - JB experiments'!$R$13</c:f>
              <c:strCache>
                <c:ptCount val="1"/>
                <c:pt idx="0">
                  <c:v>Exponential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'Old - JB experiments'!$P$14:$P$34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'Old - JB experiments'!$R$14:$R$34</c:f>
              <c:numCache>
                <c:formatCode>General</c:formatCode>
                <c:ptCount val="21"/>
                <c:pt idx="0">
                  <c:v>1.2799999999999999E-5</c:v>
                </c:pt>
                <c:pt idx="1">
                  <c:v>2.4255589142389517E-5</c:v>
                </c:pt>
                <c:pt idx="2">
                  <c:v>4.5963562862844075E-5</c:v>
                </c:pt>
                <c:pt idx="3">
                  <c:v>8.7099476275120214E-5</c:v>
                </c:pt>
                <c:pt idx="4">
                  <c:v>1.6505071180051713E-4</c:v>
                </c:pt>
                <c:pt idx="5">
                  <c:v>3.1276580102283466E-4</c:v>
                </c:pt>
                <c:pt idx="6">
                  <c:v>5.9268115370314295E-4</c:v>
                </c:pt>
                <c:pt idx="7">
                  <c:v>1.123111762239129E-3</c:v>
                </c:pt>
                <c:pt idx="8">
                  <c:v>2.1282607395201065E-3</c:v>
                </c:pt>
                <c:pt idx="9">
                  <c:v>4.0329857879435761E-3</c:v>
                </c:pt>
                <c:pt idx="10">
                  <c:v>7.6423786163637032E-3</c:v>
                </c:pt>
                <c:pt idx="11">
                  <c:v>1.4482062171023545E-2</c:v>
                </c:pt>
                <c:pt idx="12">
                  <c:v>2.7443042965225671E-2</c:v>
                </c:pt>
                <c:pt idx="13">
                  <c:v>5.2003685545426351E-2</c:v>
                </c:pt>
                <c:pt idx="14">
                  <c:v>9.8545314881240756E-2</c:v>
                </c:pt>
                <c:pt idx="15">
                  <c:v>0.18674020856771711</c:v>
                </c:pt>
                <c:pt idx="16">
                  <c:v>0.35386670120177122</c:v>
                </c:pt>
                <c:pt idx="17">
                  <c:v>0.6705660402752246</c:v>
                </c:pt>
                <c:pt idx="18">
                  <c:v>1.270701122324599</c:v>
                </c:pt>
                <c:pt idx="19">
                  <c:v>2.4079378395217743</c:v>
                </c:pt>
                <c:pt idx="20">
                  <c:v>4.5629649153010314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52-4B37-B2A1-CF9A3A5AF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173679"/>
        <c:axId val="391175759"/>
      </c:scatterChart>
      <c:valAx>
        <c:axId val="39117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Salinity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75759"/>
        <c:crosses val="autoZero"/>
        <c:crossBetween val="midCat"/>
      </c:valAx>
      <c:valAx>
        <c:axId val="39117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73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269875</xdr:colOff>
      <xdr:row>17</xdr:row>
      <xdr:rowOff>136525</xdr:rowOff>
    </xdr:from>
    <xdr:to>
      <xdr:col>24</xdr:col>
      <xdr:colOff>574675</xdr:colOff>
      <xdr:row>32</xdr:row>
      <xdr:rowOff>117475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3B22EA-B523-4C29-BD62-3791E20FB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0</xdr:colOff>
      <xdr:row>35</xdr:row>
      <xdr:rowOff>0</xdr:rowOff>
    </xdr:from>
    <xdr:to>
      <xdr:col>30</xdr:col>
      <xdr:colOff>37105</xdr:colOff>
      <xdr:row>78</xdr:row>
      <xdr:rowOff>176788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C5A07D4-CFEE-4195-A56E-B4BF9F5DC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25300" y="6445250"/>
          <a:ext cx="7961905" cy="8095238"/>
        </a:xfrm>
        <a:prstGeom prst="rect">
          <a:avLst/>
        </a:prstGeom>
      </xdr:spPr>
    </xdr:pic>
    <xdr:clientData/>
  </xdr:twoCellAnchor>
  <xdr:twoCellAnchor>
    <xdr:from>
      <xdr:col>1</xdr:col>
      <xdr:colOff>233362</xdr:colOff>
      <xdr:row>12</xdr:row>
      <xdr:rowOff>133356</xdr:rowOff>
    </xdr:from>
    <xdr:to>
      <xdr:col>7</xdr:col>
      <xdr:colOff>290512</xdr:colOff>
      <xdr:row>27</xdr:row>
      <xdr:rowOff>19056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DDD66-7016-CD3C-9466-59CEE1432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473532</xdr:colOff>
      <xdr:row>20</xdr:row>
      <xdr:rowOff>10887</xdr:rowOff>
    </xdr:from>
    <xdr:to>
      <xdr:col>14</xdr:col>
      <xdr:colOff>152400</xdr:colOff>
      <xdr:row>34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C67B692-117C-4FBD-8529-4F9698C70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519791</xdr:colOff>
      <xdr:row>34</xdr:row>
      <xdr:rowOff>32656</xdr:rowOff>
    </xdr:from>
    <xdr:to>
      <xdr:col>14</xdr:col>
      <xdr:colOff>157842</xdr:colOff>
      <xdr:row>48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0BD5A0-5E71-48C9-99CD-766F9C958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224290</xdr:colOff>
      <xdr:row>17</xdr:row>
      <xdr:rowOff>96383</xdr:rowOff>
    </xdr:from>
    <xdr:to>
      <xdr:col>20</xdr:col>
      <xdr:colOff>213859</xdr:colOff>
      <xdr:row>32</xdr:row>
      <xdr:rowOff>129040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EA48852-B923-4331-AEFB-4634752D5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4E476-7789-41A8-A99A-C7B8C3DE4629}">
  <dimension ref="B3:AC39"/>
  <sheetViews>
    <sheetView tabSelected="1" topLeftCell="D1" workbookViewId="0">
      <selection activeCell="M50" sqref="M50"/>
    </sheetView>
  </sheetViews>
  <sheetFormatPr defaultRowHeight="15" x14ac:dyDescent="0.25"/>
  <cols>
    <col min="2" max="2" width="18.85546875" customWidth="1"/>
    <col min="3" max="3" width="12.28515625" customWidth="1"/>
    <col min="13" max="13" width="13.7109375" customWidth="1"/>
    <col min="14" max="14" width="12.42578125" customWidth="1"/>
  </cols>
  <sheetData>
    <row r="3" spans="2:29" x14ac:dyDescent="0.25">
      <c r="B3" t="s">
        <v>25</v>
      </c>
    </row>
    <row r="4" spans="2:29" x14ac:dyDescent="0.25">
      <c r="B4" t="s">
        <v>26</v>
      </c>
    </row>
    <row r="5" spans="2:29" x14ac:dyDescent="0.25">
      <c r="B5" t="s">
        <v>27</v>
      </c>
    </row>
    <row r="8" spans="2:29" x14ac:dyDescent="0.25">
      <c r="B8" t="s">
        <v>41</v>
      </c>
      <c r="J8" t="s">
        <v>38</v>
      </c>
      <c r="P8" t="s">
        <v>37</v>
      </c>
      <c r="X8" t="s">
        <v>53</v>
      </c>
    </row>
    <row r="9" spans="2:29" x14ac:dyDescent="0.25">
      <c r="B9" t="s">
        <v>42</v>
      </c>
      <c r="C9" t="s">
        <v>28</v>
      </c>
      <c r="F9" t="s">
        <v>29</v>
      </c>
      <c r="J9" t="s">
        <v>30</v>
      </c>
      <c r="K9" t="s">
        <v>31</v>
      </c>
      <c r="M9" t="s">
        <v>31</v>
      </c>
      <c r="N9" t="s">
        <v>34</v>
      </c>
      <c r="O9" t="s">
        <v>32</v>
      </c>
      <c r="P9" t="s">
        <v>33</v>
      </c>
    </row>
    <row r="10" spans="2:29" x14ac:dyDescent="0.25">
      <c r="B10">
        <v>7</v>
      </c>
      <c r="C10">
        <v>1.5</v>
      </c>
      <c r="F10" t="s">
        <v>16</v>
      </c>
      <c r="G10" t="s">
        <v>15</v>
      </c>
      <c r="J10">
        <v>10</v>
      </c>
      <c r="K10">
        <f>$F$11*J10+$G$11</f>
        <v>1.3108695652173914</v>
      </c>
      <c r="M10">
        <v>0.3</v>
      </c>
      <c r="N10">
        <v>228</v>
      </c>
      <c r="O10">
        <v>0</v>
      </c>
      <c r="P10">
        <f>$N$13*EXP(-1*$M$10*O10)</f>
        <v>93.598560000000006</v>
      </c>
      <c r="R10" t="s">
        <v>40</v>
      </c>
      <c r="X10" t="s">
        <v>43</v>
      </c>
      <c r="Y10">
        <f>-M10*O32</f>
        <v>-6.6</v>
      </c>
      <c r="AB10" t="s">
        <v>47</v>
      </c>
      <c r="AC10">
        <v>0.44</v>
      </c>
    </row>
    <row r="11" spans="2:29" x14ac:dyDescent="0.25">
      <c r="B11">
        <v>30</v>
      </c>
      <c r="C11">
        <v>0.05</v>
      </c>
      <c r="F11">
        <f>(C10-C11)/(B10-B11)</f>
        <v>-6.3043478260869562E-2</v>
      </c>
      <c r="G11">
        <f>C10-F11*B10</f>
        <v>1.941304347826087</v>
      </c>
      <c r="J11">
        <f>J10+1</f>
        <v>11</v>
      </c>
      <c r="K11">
        <f t="shared" ref="K11:K37" si="0">$F$11*J11+$G$11</f>
        <v>1.2478260869565219</v>
      </c>
      <c r="O11">
        <f>O10+1</f>
        <v>1</v>
      </c>
      <c r="P11">
        <f t="shared" ref="P11:P39" si="1">$N$13*EXP(-1*$M$10*O11)</f>
        <v>69.339518677571021</v>
      </c>
      <c r="X11" t="s">
        <v>44</v>
      </c>
      <c r="Y11">
        <f>1-EXP(Y10)</f>
        <v>0.99863963196245209</v>
      </c>
      <c r="AB11" t="s">
        <v>48</v>
      </c>
      <c r="AC11">
        <v>6.7000000000000004E-2</v>
      </c>
    </row>
    <row r="12" spans="2:29" x14ac:dyDescent="0.25">
      <c r="J12">
        <f t="shared" ref="J12:J37" si="2">J11+1</f>
        <v>12</v>
      </c>
      <c r="K12">
        <f t="shared" si="0"/>
        <v>1.1847826086956523</v>
      </c>
      <c r="N12" t="s">
        <v>51</v>
      </c>
      <c r="O12">
        <f t="shared" ref="O12:O39" si="3">O11+1</f>
        <v>2</v>
      </c>
      <c r="P12">
        <f t="shared" si="1"/>
        <v>51.367978849644899</v>
      </c>
      <c r="X12" t="s">
        <v>45</v>
      </c>
      <c r="Y12">
        <f>Y10*-1</f>
        <v>6.6</v>
      </c>
    </row>
    <row r="13" spans="2:29" x14ac:dyDescent="0.25">
      <c r="J13">
        <f t="shared" si="2"/>
        <v>13</v>
      </c>
      <c r="K13">
        <f t="shared" si="0"/>
        <v>1.1217391304347828</v>
      </c>
      <c r="N13">
        <f>N10*AC10*(1-AC11)</f>
        <v>93.598560000000006</v>
      </c>
      <c r="O13">
        <f t="shared" si="3"/>
        <v>3</v>
      </c>
      <c r="P13">
        <f t="shared" si="1"/>
        <v>38.054334691410055</v>
      </c>
      <c r="R13" t="s">
        <v>39</v>
      </c>
      <c r="X13" t="s">
        <v>46</v>
      </c>
      <c r="Y13">
        <f>Y11/Y12</f>
        <v>0.15130903514582608</v>
      </c>
      <c r="AB13" t="s">
        <v>49</v>
      </c>
      <c r="AC13">
        <f>N10*AC10*(1-AC11)</f>
        <v>93.598560000000006</v>
      </c>
    </row>
    <row r="14" spans="2:29" x14ac:dyDescent="0.25">
      <c r="J14">
        <f t="shared" si="2"/>
        <v>14</v>
      </c>
      <c r="K14">
        <f>$F$11*J14+$G$11</f>
        <v>1.058695652173913</v>
      </c>
      <c r="O14">
        <f t="shared" si="3"/>
        <v>4</v>
      </c>
      <c r="P14">
        <f t="shared" si="1"/>
        <v>28.191344515316967</v>
      </c>
      <c r="AB14" t="s">
        <v>50</v>
      </c>
      <c r="AC14">
        <f>AC13*Y13</f>
        <v>14.162307804638711</v>
      </c>
    </row>
    <row r="15" spans="2:29" x14ac:dyDescent="0.25">
      <c r="J15">
        <f t="shared" si="2"/>
        <v>15</v>
      </c>
      <c r="K15">
        <f t="shared" si="0"/>
        <v>0.9956521739130435</v>
      </c>
      <c r="O15">
        <f t="shared" si="3"/>
        <v>5</v>
      </c>
      <c r="P15">
        <f t="shared" si="1"/>
        <v>20.884661682462418</v>
      </c>
      <c r="U15" t="s">
        <v>52</v>
      </c>
    </row>
    <row r="16" spans="2:29" x14ac:dyDescent="0.25">
      <c r="J16">
        <f t="shared" si="2"/>
        <v>16</v>
      </c>
      <c r="K16">
        <f t="shared" si="0"/>
        <v>0.93260869565217397</v>
      </c>
      <c r="O16">
        <f t="shared" si="3"/>
        <v>6</v>
      </c>
      <c r="P16">
        <f t="shared" si="1"/>
        <v>15.471737907141463</v>
      </c>
      <c r="R16">
        <f>AVERAGE(P10:P32)</f>
        <v>15.68552169815422</v>
      </c>
      <c r="U16">
        <f>N13*(1-EXP(-M10*O32))/(M10*O32)</f>
        <v>14.162307804638711</v>
      </c>
    </row>
    <row r="17" spans="10:16" x14ac:dyDescent="0.25">
      <c r="J17">
        <f t="shared" si="2"/>
        <v>17</v>
      </c>
      <c r="K17">
        <f t="shared" si="0"/>
        <v>0.86956521739130443</v>
      </c>
      <c r="O17">
        <f t="shared" si="3"/>
        <v>7</v>
      </c>
      <c r="P17">
        <f t="shared" si="1"/>
        <v>11.461745347222422</v>
      </c>
    </row>
    <row r="18" spans="10:16" x14ac:dyDescent="0.25">
      <c r="J18">
        <f t="shared" si="2"/>
        <v>18</v>
      </c>
      <c r="K18">
        <f t="shared" si="0"/>
        <v>0.8065217391304349</v>
      </c>
      <c r="O18">
        <f t="shared" si="3"/>
        <v>8</v>
      </c>
      <c r="P18">
        <f t="shared" si="1"/>
        <v>8.4910697940362745</v>
      </c>
    </row>
    <row r="19" spans="10:16" x14ac:dyDescent="0.25">
      <c r="J19">
        <f t="shared" si="2"/>
        <v>19</v>
      </c>
      <c r="K19">
        <f t="shared" si="0"/>
        <v>0.74347826086956537</v>
      </c>
      <c r="O19">
        <f t="shared" si="3"/>
        <v>9</v>
      </c>
      <c r="P19">
        <f t="shared" si="1"/>
        <v>6.2903392165022352</v>
      </c>
    </row>
    <row r="20" spans="10:16" x14ac:dyDescent="0.25">
      <c r="J20">
        <f t="shared" si="2"/>
        <v>20</v>
      </c>
      <c r="K20">
        <f t="shared" si="0"/>
        <v>0.68043478260869583</v>
      </c>
      <c r="O20">
        <f t="shared" si="3"/>
        <v>10</v>
      </c>
      <c r="P20">
        <f t="shared" si="1"/>
        <v>4.6599979058536158</v>
      </c>
    </row>
    <row r="21" spans="10:16" x14ac:dyDescent="0.25">
      <c r="J21">
        <f t="shared" si="2"/>
        <v>21</v>
      </c>
      <c r="K21">
        <f t="shared" si="0"/>
        <v>0.61739130434782608</v>
      </c>
      <c r="O21">
        <f t="shared" si="3"/>
        <v>11</v>
      </c>
      <c r="P21">
        <f t="shared" si="1"/>
        <v>3.4522113569950079</v>
      </c>
    </row>
    <row r="22" spans="10:16" x14ac:dyDescent="0.25">
      <c r="J22">
        <f t="shared" si="2"/>
        <v>22</v>
      </c>
      <c r="K22">
        <f t="shared" si="0"/>
        <v>0.55434782608695654</v>
      </c>
      <c r="O22">
        <f t="shared" si="3"/>
        <v>12</v>
      </c>
      <c r="P22">
        <f t="shared" si="1"/>
        <v>2.5574610749062607</v>
      </c>
    </row>
    <row r="23" spans="10:16" x14ac:dyDescent="0.25">
      <c r="J23">
        <f t="shared" si="2"/>
        <v>23</v>
      </c>
      <c r="K23">
        <f t="shared" si="0"/>
        <v>0.49130434782608701</v>
      </c>
      <c r="O23">
        <f t="shared" si="3"/>
        <v>13</v>
      </c>
      <c r="P23">
        <f t="shared" si="1"/>
        <v>1.8946137629748092</v>
      </c>
    </row>
    <row r="24" spans="10:16" x14ac:dyDescent="0.25">
      <c r="J24">
        <f t="shared" si="2"/>
        <v>24</v>
      </c>
      <c r="K24">
        <f t="shared" si="0"/>
        <v>0.42826086956521747</v>
      </c>
      <c r="O24">
        <f t="shared" si="3"/>
        <v>14</v>
      </c>
      <c r="P24">
        <f t="shared" si="1"/>
        <v>1.4035643967660916</v>
      </c>
    </row>
    <row r="25" spans="10:16" x14ac:dyDescent="0.25">
      <c r="J25">
        <f t="shared" si="2"/>
        <v>25</v>
      </c>
      <c r="K25">
        <f t="shared" si="0"/>
        <v>0.36521739130434794</v>
      </c>
      <c r="O25">
        <f t="shared" si="3"/>
        <v>15</v>
      </c>
      <c r="P25">
        <f t="shared" si="1"/>
        <v>1.0397860790244648</v>
      </c>
    </row>
    <row r="26" spans="10:16" x14ac:dyDescent="0.25">
      <c r="J26">
        <f t="shared" si="2"/>
        <v>26</v>
      </c>
      <c r="K26">
        <f t="shared" si="0"/>
        <v>0.3021739130434784</v>
      </c>
      <c r="O26">
        <f t="shared" si="3"/>
        <v>16</v>
      </c>
      <c r="P26">
        <f t="shared" si="1"/>
        <v>0.77029247295252423</v>
      </c>
    </row>
    <row r="27" spans="10:16" x14ac:dyDescent="0.25">
      <c r="J27">
        <f t="shared" si="2"/>
        <v>27</v>
      </c>
      <c r="K27">
        <f t="shared" si="0"/>
        <v>0.23913043478260887</v>
      </c>
      <c r="O27">
        <f t="shared" si="3"/>
        <v>17</v>
      </c>
      <c r="P27">
        <f t="shared" si="1"/>
        <v>0.57064669921720945</v>
      </c>
    </row>
    <row r="28" spans="10:16" x14ac:dyDescent="0.25">
      <c r="J28">
        <f t="shared" si="2"/>
        <v>28</v>
      </c>
      <c r="K28">
        <f t="shared" si="0"/>
        <v>0.17608695652173911</v>
      </c>
      <c r="O28">
        <f t="shared" si="3"/>
        <v>18</v>
      </c>
      <c r="P28">
        <f t="shared" si="1"/>
        <v>0.42274547235198862</v>
      </c>
    </row>
    <row r="29" spans="10:16" x14ac:dyDescent="0.25">
      <c r="J29">
        <f t="shared" si="2"/>
        <v>29</v>
      </c>
      <c r="K29">
        <f t="shared" si="0"/>
        <v>0.11304347826086958</v>
      </c>
      <c r="O29">
        <f t="shared" si="3"/>
        <v>19</v>
      </c>
      <c r="P29">
        <f t="shared" si="1"/>
        <v>0.31317754862905234</v>
      </c>
    </row>
    <row r="30" spans="10:16" x14ac:dyDescent="0.25">
      <c r="J30">
        <f t="shared" si="2"/>
        <v>30</v>
      </c>
      <c r="K30">
        <f t="shared" si="0"/>
        <v>5.0000000000000044E-2</v>
      </c>
      <c r="O30">
        <f t="shared" si="3"/>
        <v>20</v>
      </c>
      <c r="P30">
        <f t="shared" si="1"/>
        <v>0.23200763433283678</v>
      </c>
    </row>
    <row r="31" spans="10:16" x14ac:dyDescent="0.25">
      <c r="J31">
        <f t="shared" si="2"/>
        <v>31</v>
      </c>
      <c r="K31">
        <f t="shared" si="0"/>
        <v>-1.304347826086949E-2</v>
      </c>
      <c r="O31">
        <f t="shared" si="3"/>
        <v>21</v>
      </c>
      <c r="P31">
        <f t="shared" si="1"/>
        <v>0.1718754828510268</v>
      </c>
    </row>
    <row r="32" spans="10:16" x14ac:dyDescent="0.25">
      <c r="J32">
        <f t="shared" si="2"/>
        <v>32</v>
      </c>
      <c r="K32">
        <f t="shared" si="0"/>
        <v>-7.6086956521739024E-2</v>
      </c>
      <c r="O32">
        <f t="shared" si="3"/>
        <v>22</v>
      </c>
      <c r="P32">
        <f t="shared" si="1"/>
        <v>0.1273284893845088</v>
      </c>
    </row>
    <row r="33" spans="10:16" x14ac:dyDescent="0.25">
      <c r="J33">
        <f t="shared" si="2"/>
        <v>33</v>
      </c>
      <c r="K33">
        <f t="shared" si="0"/>
        <v>-0.13913043478260856</v>
      </c>
      <c r="O33">
        <f t="shared" si="3"/>
        <v>23</v>
      </c>
      <c r="P33">
        <f t="shared" si="1"/>
        <v>9.4327264947922831E-2</v>
      </c>
    </row>
    <row r="34" spans="10:16" x14ac:dyDescent="0.25">
      <c r="J34">
        <f t="shared" si="2"/>
        <v>34</v>
      </c>
      <c r="K34">
        <f t="shared" si="0"/>
        <v>-0.20217391304347809</v>
      </c>
      <c r="O34">
        <f t="shared" si="3"/>
        <v>24</v>
      </c>
      <c r="P34">
        <f t="shared" si="1"/>
        <v>6.9879356580493171E-2</v>
      </c>
    </row>
    <row r="35" spans="10:16" x14ac:dyDescent="0.25">
      <c r="J35">
        <f t="shared" si="2"/>
        <v>35</v>
      </c>
      <c r="K35">
        <f t="shared" si="0"/>
        <v>-0.26521739130434763</v>
      </c>
      <c r="O35">
        <f t="shared" si="3"/>
        <v>25</v>
      </c>
      <c r="P35">
        <f t="shared" si="1"/>
        <v>5.1767900604344219E-2</v>
      </c>
    </row>
    <row r="36" spans="10:16" x14ac:dyDescent="0.25">
      <c r="J36">
        <f t="shared" si="2"/>
        <v>36</v>
      </c>
      <c r="K36">
        <f t="shared" si="0"/>
        <v>-0.32826086956521716</v>
      </c>
      <c r="O36">
        <f t="shared" si="3"/>
        <v>26</v>
      </c>
      <c r="P36">
        <f t="shared" si="1"/>
        <v>3.8350604014138319E-2</v>
      </c>
    </row>
    <row r="37" spans="10:16" x14ac:dyDescent="0.25">
      <c r="J37">
        <f t="shared" si="2"/>
        <v>37</v>
      </c>
      <c r="K37">
        <f t="shared" si="0"/>
        <v>-0.3913043478260867</v>
      </c>
      <c r="O37">
        <f t="shared" si="3"/>
        <v>27</v>
      </c>
      <c r="P37">
        <f t="shared" si="1"/>
        <v>2.8410826227823097E-2</v>
      </c>
    </row>
    <row r="38" spans="10:16" x14ac:dyDescent="0.25">
      <c r="O38">
        <f t="shared" si="3"/>
        <v>28</v>
      </c>
      <c r="P38">
        <f t="shared" si="1"/>
        <v>2.1047257734193376E-2</v>
      </c>
    </row>
    <row r="39" spans="10:16" x14ac:dyDescent="0.25">
      <c r="O39">
        <f t="shared" si="3"/>
        <v>29</v>
      </c>
      <c r="P39">
        <f t="shared" si="1"/>
        <v>1.5592192024874678E-2</v>
      </c>
    </row>
  </sheetData>
  <conditionalFormatting sqref="P10:P39">
    <cfRule type="cellIs" dxfId="0" priority="1" operator="greaterThan">
      <formula>0.01</formula>
    </cfRule>
    <cfRule type="colorScale" priority="2">
      <colorScale>
        <cfvo type="formula" val="&quot;&gt;0.01&quot;"/>
        <cfvo type="formula" val="&quot;&lt;0.01&quot;"/>
        <color rgb="FFFF7128"/>
        <color rgb="FFFFEF9C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6C3E5-BB60-4F9F-B4C7-D4535EBE9516}">
  <dimension ref="B2:Y49"/>
  <sheetViews>
    <sheetView workbookViewId="0">
      <selection activeCell="E25" sqref="E25"/>
    </sheetView>
  </sheetViews>
  <sheetFormatPr defaultRowHeight="15" x14ac:dyDescent="0.25"/>
  <cols>
    <col min="2" max="2" width="12.7109375" customWidth="1"/>
    <col min="5" max="5" width="27.140625" customWidth="1"/>
    <col min="10" max="10" width="14.5703125" customWidth="1"/>
    <col min="11" max="11" width="10.7109375" customWidth="1"/>
    <col min="13" max="13" width="15.140625" customWidth="1"/>
    <col min="15" max="15" width="12.140625" customWidth="1"/>
    <col min="17" max="17" width="10.42578125" bestFit="1" customWidth="1"/>
    <col min="18" max="18" width="11.85546875" bestFit="1" customWidth="1"/>
    <col min="27" max="27" width="12.42578125" bestFit="1" customWidth="1"/>
  </cols>
  <sheetData>
    <row r="2" spans="2:25" x14ac:dyDescent="0.25">
      <c r="Q2" t="s">
        <v>20</v>
      </c>
      <c r="R2" t="s">
        <v>21</v>
      </c>
      <c r="S2" t="s">
        <v>22</v>
      </c>
      <c r="T2" t="s">
        <v>24</v>
      </c>
    </row>
    <row r="3" spans="2:25" x14ac:dyDescent="0.25">
      <c r="P3" t="s">
        <v>15</v>
      </c>
      <c r="Q3">
        <v>3.3599999999999997E-5</v>
      </c>
      <c r="R3">
        <v>1.2799999999999999E-5</v>
      </c>
      <c r="S3">
        <v>20</v>
      </c>
      <c r="T3">
        <v>1</v>
      </c>
    </row>
    <row r="4" spans="2:25" x14ac:dyDescent="0.25">
      <c r="E4" s="4"/>
      <c r="F4" s="1"/>
      <c r="L4" s="2" t="s">
        <v>2</v>
      </c>
      <c r="P4" t="s">
        <v>16</v>
      </c>
      <c r="Q4">
        <v>9.5270000000000001E-4</v>
      </c>
      <c r="R4" s="7">
        <v>0.63920189999999999</v>
      </c>
      <c r="S4">
        <v>15</v>
      </c>
      <c r="T4">
        <v>0.2</v>
      </c>
    </row>
    <row r="5" spans="2:25" x14ac:dyDescent="0.25">
      <c r="B5" s="3" t="s">
        <v>0</v>
      </c>
      <c r="C5">
        <v>5</v>
      </c>
      <c r="E5" s="4" t="s">
        <v>36</v>
      </c>
      <c r="F5" s="1"/>
      <c r="H5" s="2" t="s">
        <v>8</v>
      </c>
      <c r="L5" s="5" t="s">
        <v>10</v>
      </c>
      <c r="N5" t="s">
        <v>22</v>
      </c>
      <c r="P5" t="s">
        <v>17</v>
      </c>
      <c r="Q5">
        <v>9.6897000000000007E-3</v>
      </c>
      <c r="S5">
        <v>10</v>
      </c>
      <c r="T5">
        <v>0.05</v>
      </c>
    </row>
    <row r="6" spans="2:25" x14ac:dyDescent="0.25">
      <c r="B6" s="3" t="s">
        <v>1</v>
      </c>
      <c r="C6">
        <v>100</v>
      </c>
      <c r="E6" s="1" t="s">
        <v>35</v>
      </c>
      <c r="F6" s="1"/>
      <c r="J6" s="2" t="s">
        <v>9</v>
      </c>
      <c r="L6" s="2" t="s">
        <v>11</v>
      </c>
      <c r="N6">
        <v>10</v>
      </c>
      <c r="P6" t="s">
        <v>18</v>
      </c>
      <c r="Q6">
        <v>3.2593200000000003E-2</v>
      </c>
      <c r="S6">
        <v>5</v>
      </c>
      <c r="T6">
        <v>5.0000000000000001E-3</v>
      </c>
    </row>
    <row r="7" spans="2:25" x14ac:dyDescent="0.25">
      <c r="B7" s="2" t="s">
        <v>3</v>
      </c>
      <c r="C7">
        <v>0.5</v>
      </c>
      <c r="E7" s="1">
        <f>I0*EXP(-K*ml)</f>
        <v>8.2084998623898802</v>
      </c>
      <c r="H7" s="2" t="s">
        <v>4</v>
      </c>
      <c r="I7" s="2" t="s">
        <v>5</v>
      </c>
      <c r="J7" s="2" t="s">
        <v>7</v>
      </c>
      <c r="N7" t="s">
        <v>23</v>
      </c>
      <c r="P7" t="s">
        <v>19</v>
      </c>
      <c r="Q7">
        <v>2.38236E-2</v>
      </c>
      <c r="S7">
        <v>1</v>
      </c>
      <c r="T7">
        <v>9.9999999999999995E-7</v>
      </c>
    </row>
    <row r="8" spans="2:25" x14ac:dyDescent="0.25">
      <c r="H8" s="2">
        <v>1</v>
      </c>
      <c r="I8">
        <f t="shared" ref="I8:I17" si="0">-K*H8</f>
        <v>-0.5</v>
      </c>
      <c r="J8">
        <f t="shared" ref="J8:J17" si="1">I0*EXP(-K*H8)</f>
        <v>60.653065971263345</v>
      </c>
      <c r="M8">
        <f t="shared" ref="M8:M17" si="2">I0*(1-EXP(-K*H8))/(K*H8)</f>
        <v>78.69386805747331</v>
      </c>
      <c r="N8">
        <f t="shared" ref="N8:N17" si="3">M8 * MIN(1,a_2*EXP(b_2*$N$6))</f>
        <v>0.60140833448138065</v>
      </c>
    </row>
    <row r="9" spans="2:25" x14ac:dyDescent="0.25">
      <c r="B9" t="s">
        <v>12</v>
      </c>
      <c r="C9">
        <v>2</v>
      </c>
      <c r="H9" s="2">
        <v>2</v>
      </c>
      <c r="I9">
        <f t="shared" si="0"/>
        <v>-1</v>
      </c>
      <c r="J9">
        <f t="shared" si="1"/>
        <v>36.787944117144235</v>
      </c>
      <c r="M9">
        <f t="shared" si="2"/>
        <v>63.212055882855765</v>
      </c>
      <c r="N9">
        <f t="shared" si="3"/>
        <v>0.48309046417552431</v>
      </c>
    </row>
    <row r="10" spans="2:25" x14ac:dyDescent="0.25">
      <c r="H10" s="2">
        <v>3</v>
      </c>
      <c r="I10">
        <f t="shared" si="0"/>
        <v>-1.5</v>
      </c>
      <c r="J10">
        <f t="shared" si="1"/>
        <v>22.313016014842983</v>
      </c>
      <c r="M10">
        <f t="shared" si="2"/>
        <v>51.791322656771349</v>
      </c>
      <c r="N10">
        <f t="shared" si="3"/>
        <v>0.39580889678530234</v>
      </c>
    </row>
    <row r="11" spans="2:25" x14ac:dyDescent="0.25">
      <c r="H11" s="2">
        <v>4</v>
      </c>
      <c r="I11">
        <f t="shared" si="0"/>
        <v>-2</v>
      </c>
      <c r="J11">
        <f t="shared" si="1"/>
        <v>13.533528323661271</v>
      </c>
      <c r="M11">
        <f t="shared" si="2"/>
        <v>43.233235838169364</v>
      </c>
      <c r="N11">
        <f t="shared" si="3"/>
        <v>0.33040475708583444</v>
      </c>
    </row>
    <row r="12" spans="2:25" x14ac:dyDescent="0.25">
      <c r="H12" s="2">
        <v>5</v>
      </c>
      <c r="I12">
        <f t="shared" si="0"/>
        <v>-2.5</v>
      </c>
      <c r="J12">
        <f t="shared" si="1"/>
        <v>8.2084998623898802</v>
      </c>
      <c r="M12">
        <f t="shared" si="2"/>
        <v>36.716600055044047</v>
      </c>
      <c r="N12">
        <f t="shared" si="3"/>
        <v>0.28060215912624697</v>
      </c>
    </row>
    <row r="13" spans="2:25" x14ac:dyDescent="0.25">
      <c r="H13" s="2">
        <v>6</v>
      </c>
      <c r="I13">
        <f t="shared" si="0"/>
        <v>-3</v>
      </c>
      <c r="J13">
        <f t="shared" si="1"/>
        <v>4.9787068367863947</v>
      </c>
      <c r="M13">
        <f t="shared" si="2"/>
        <v>31.673764387737865</v>
      </c>
      <c r="N13">
        <f t="shared" si="3"/>
        <v>0.24206289965659003</v>
      </c>
      <c r="P13" t="s">
        <v>22</v>
      </c>
      <c r="Q13" t="s">
        <v>14</v>
      </c>
      <c r="R13" t="s">
        <v>13</v>
      </c>
    </row>
    <row r="14" spans="2:25" x14ac:dyDescent="0.25">
      <c r="H14" s="2">
        <v>7</v>
      </c>
      <c r="I14">
        <f t="shared" si="0"/>
        <v>-3.5</v>
      </c>
      <c r="J14">
        <f t="shared" si="1"/>
        <v>3.0197383422318502</v>
      </c>
      <c r="M14">
        <f t="shared" si="2"/>
        <v>27.708646187933759</v>
      </c>
      <c r="N14">
        <f t="shared" si="3"/>
        <v>0.2117599651150526</v>
      </c>
      <c r="P14">
        <v>0</v>
      </c>
      <c r="Q14">
        <f xml:space="preserve"> a*P14^4 - b*P14^3 + cc*P14^2 - d*P14 + e</f>
        <v>2.38236E-2</v>
      </c>
      <c r="R14">
        <f t="shared" ref="R14:R49" si="4" xml:space="preserve"> a_2*EXP(b_2*P14)</f>
        <v>1.2799999999999999E-5</v>
      </c>
    </row>
    <row r="15" spans="2:25" x14ac:dyDescent="0.25">
      <c r="H15" s="2">
        <v>8</v>
      </c>
      <c r="I15">
        <f t="shared" si="0"/>
        <v>-4</v>
      </c>
      <c r="J15">
        <f t="shared" si="1"/>
        <v>1.8315638888734178</v>
      </c>
      <c r="M15">
        <f t="shared" si="2"/>
        <v>24.542109027781645</v>
      </c>
      <c r="N15">
        <f t="shared" si="3"/>
        <v>0.18756008923438505</v>
      </c>
      <c r="P15">
        <v>1</v>
      </c>
      <c r="Q15">
        <f t="shared" ref="Q15:Q49" si="5" xml:space="preserve"> a*P15^4 - b*P15^3 +cc*P15^2 - d*P15 + e</f>
        <v>9.9999999999753064E-7</v>
      </c>
      <c r="R15">
        <f t="shared" si="4"/>
        <v>2.4255589142389517E-5</v>
      </c>
      <c r="Y15" s="6"/>
    </row>
    <row r="16" spans="2:25" x14ac:dyDescent="0.25">
      <c r="H16" s="2">
        <v>9</v>
      </c>
      <c r="I16">
        <f t="shared" si="0"/>
        <v>-4.5</v>
      </c>
      <c r="J16">
        <f t="shared" si="1"/>
        <v>1.1108996538242306</v>
      </c>
      <c r="M16">
        <f t="shared" si="2"/>
        <v>21.975355632483506</v>
      </c>
      <c r="N16">
        <f t="shared" si="3"/>
        <v>0.16794398797267962</v>
      </c>
      <c r="P16">
        <v>2</v>
      </c>
      <c r="Q16">
        <f t="shared" si="5"/>
        <v>-9.6880000000000022E-3</v>
      </c>
      <c r="R16">
        <f t="shared" si="4"/>
        <v>4.5963562862844075E-5</v>
      </c>
      <c r="Y16" s="6"/>
    </row>
    <row r="17" spans="8:18" x14ac:dyDescent="0.25">
      <c r="H17" s="2">
        <v>10</v>
      </c>
      <c r="I17">
        <f t="shared" si="0"/>
        <v>-5</v>
      </c>
      <c r="J17">
        <f t="shared" si="1"/>
        <v>0.67379469990854668</v>
      </c>
      <c r="M17">
        <f t="shared" si="2"/>
        <v>19.865241060018292</v>
      </c>
      <c r="N17">
        <f t="shared" si="3"/>
        <v>0.15181769348599403</v>
      </c>
      <c r="P17">
        <v>3</v>
      </c>
      <c r="Q17">
        <f t="shared" si="5"/>
        <v>-9.7500000000000087E-3</v>
      </c>
      <c r="R17">
        <f t="shared" si="4"/>
        <v>8.7099476275120214E-5</v>
      </c>
    </row>
    <row r="18" spans="8:18" x14ac:dyDescent="0.25">
      <c r="P18">
        <v>4</v>
      </c>
      <c r="Q18">
        <f t="shared" si="5"/>
        <v>-3.8852000000000053E-3</v>
      </c>
      <c r="R18">
        <f t="shared" si="4"/>
        <v>1.6505071180051713E-4</v>
      </c>
    </row>
    <row r="19" spans="8:18" x14ac:dyDescent="0.25">
      <c r="H19" s="2" t="s">
        <v>6</v>
      </c>
      <c r="I19">
        <f>AVERAGE(I8:I17)</f>
        <v>-2.75</v>
      </c>
      <c r="J19">
        <f>AVERAGE(J8:J17)</f>
        <v>15.311075771092613</v>
      </c>
      <c r="P19">
        <v>5</v>
      </c>
      <c r="Q19">
        <f t="shared" si="5"/>
        <v>5.0126000000000337E-3</v>
      </c>
      <c r="R19">
        <f t="shared" si="4"/>
        <v>3.1276580102283466E-4</v>
      </c>
    </row>
    <row r="20" spans="8:18" x14ac:dyDescent="0.25">
      <c r="P20">
        <v>6</v>
      </c>
      <c r="Q20">
        <f t="shared" si="5"/>
        <v>1.485599999999998E-2</v>
      </c>
      <c r="R20">
        <f t="shared" si="4"/>
        <v>5.9268115370314295E-4</v>
      </c>
    </row>
    <row r="21" spans="8:18" x14ac:dyDescent="0.25">
      <c r="P21">
        <v>7</v>
      </c>
      <c r="Q21">
        <f t="shared" si="5"/>
        <v>2.4363999999999997E-2</v>
      </c>
      <c r="R21">
        <f t="shared" si="4"/>
        <v>1.123111762239129E-3</v>
      </c>
    </row>
    <row r="22" spans="8:18" x14ac:dyDescent="0.25">
      <c r="P22">
        <v>8</v>
      </c>
      <c r="Q22">
        <f t="shared" si="5"/>
        <v>3.306199999999998E-2</v>
      </c>
      <c r="R22">
        <f t="shared" si="4"/>
        <v>2.1282607395201065E-3</v>
      </c>
    </row>
    <row r="23" spans="8:18" x14ac:dyDescent="0.25">
      <c r="P23">
        <v>9</v>
      </c>
      <c r="Q23">
        <f t="shared" si="5"/>
        <v>4.1281800000000035E-2</v>
      </c>
      <c r="R23">
        <f t="shared" si="4"/>
        <v>4.0329857879435761E-3</v>
      </c>
    </row>
    <row r="24" spans="8:18" x14ac:dyDescent="0.25">
      <c r="P24">
        <v>10</v>
      </c>
      <c r="Q24">
        <f t="shared" si="5"/>
        <v>5.0161600000000084E-2</v>
      </c>
      <c r="R24">
        <f t="shared" si="4"/>
        <v>7.6423786163637032E-3</v>
      </c>
    </row>
    <row r="25" spans="8:18" x14ac:dyDescent="0.25">
      <c r="P25">
        <v>11</v>
      </c>
      <c r="Q25">
        <f t="shared" si="5"/>
        <v>6.164600000000009E-2</v>
      </c>
      <c r="R25">
        <f t="shared" si="4"/>
        <v>1.4482062171023545E-2</v>
      </c>
    </row>
    <row r="26" spans="8:18" x14ac:dyDescent="0.25">
      <c r="P26">
        <v>12</v>
      </c>
      <c r="Q26">
        <f t="shared" si="5"/>
        <v>7.8485999999999945E-2</v>
      </c>
      <c r="R26">
        <f t="shared" si="4"/>
        <v>2.7443042965225671E-2</v>
      </c>
    </row>
    <row r="27" spans="8:18" x14ac:dyDescent="0.25">
      <c r="P27">
        <v>13</v>
      </c>
      <c r="Q27">
        <f t="shared" si="5"/>
        <v>0.10423899999999997</v>
      </c>
      <c r="R27">
        <f t="shared" si="4"/>
        <v>5.2003685545426351E-2</v>
      </c>
    </row>
    <row r="28" spans="8:18" x14ac:dyDescent="0.25">
      <c r="P28">
        <v>14</v>
      </c>
      <c r="Q28">
        <f t="shared" si="5"/>
        <v>0.14326879999999992</v>
      </c>
      <c r="R28">
        <f t="shared" si="4"/>
        <v>9.8545314881240756E-2</v>
      </c>
    </row>
    <row r="29" spans="8:18" x14ac:dyDescent="0.25">
      <c r="P29">
        <v>15</v>
      </c>
      <c r="Q29">
        <f t="shared" si="5"/>
        <v>0.20074560000000025</v>
      </c>
      <c r="R29">
        <f t="shared" si="4"/>
        <v>0.18674020856771711</v>
      </c>
    </row>
    <row r="30" spans="8:18" x14ac:dyDescent="0.25">
      <c r="P30">
        <v>16</v>
      </c>
      <c r="Q30">
        <f t="shared" si="5"/>
        <v>0.2826459999999999</v>
      </c>
      <c r="R30">
        <f t="shared" si="4"/>
        <v>0.35386670120177122</v>
      </c>
    </row>
    <row r="31" spans="8:18" x14ac:dyDescent="0.25">
      <c r="P31">
        <v>17</v>
      </c>
      <c r="Q31">
        <f t="shared" si="5"/>
        <v>0.39575299999999974</v>
      </c>
      <c r="R31">
        <f t="shared" si="4"/>
        <v>0.6705660402752246</v>
      </c>
    </row>
    <row r="32" spans="8:18" x14ac:dyDescent="0.25">
      <c r="P32">
        <v>18</v>
      </c>
      <c r="Q32">
        <f t="shared" si="5"/>
        <v>0.5476559999999997</v>
      </c>
      <c r="R32">
        <f t="shared" si="4"/>
        <v>1.270701122324599</v>
      </c>
    </row>
    <row r="33" spans="16:18" x14ac:dyDescent="0.25">
      <c r="P33">
        <v>19</v>
      </c>
      <c r="Q33">
        <f t="shared" si="5"/>
        <v>0.74675079999999983</v>
      </c>
      <c r="R33">
        <f t="shared" si="4"/>
        <v>2.4079378395217743</v>
      </c>
    </row>
    <row r="34" spans="16:18" x14ac:dyDescent="0.25">
      <c r="P34">
        <v>20</v>
      </c>
      <c r="Q34">
        <f t="shared" si="5"/>
        <v>1.0022396</v>
      </c>
      <c r="R34">
        <f t="shared" si="4"/>
        <v>4.5629649153010314</v>
      </c>
    </row>
    <row r="35" spans="16:18" x14ac:dyDescent="0.25">
      <c r="P35">
        <v>21</v>
      </c>
      <c r="Q35">
        <f t="shared" si="5"/>
        <v>1.3241309999999991</v>
      </c>
      <c r="R35">
        <f t="shared" si="4"/>
        <v>8.6466720513031383</v>
      </c>
    </row>
    <row r="36" spans="16:18" x14ac:dyDescent="0.25">
      <c r="P36">
        <v>22</v>
      </c>
      <c r="Q36">
        <f t="shared" si="5"/>
        <v>1.7232400000000001</v>
      </c>
      <c r="R36">
        <f t="shared" si="4"/>
        <v>16.385165994171189</v>
      </c>
    </row>
    <row r="37" spans="16:18" x14ac:dyDescent="0.25">
      <c r="P37">
        <v>23</v>
      </c>
      <c r="Q37">
        <f t="shared" si="5"/>
        <v>2.2111880000000004</v>
      </c>
      <c r="R37">
        <f t="shared" si="4"/>
        <v>31.049363623786608</v>
      </c>
    </row>
    <row r="38" spans="16:18" x14ac:dyDescent="0.25">
      <c r="P38">
        <v>24</v>
      </c>
      <c r="Q38">
        <f t="shared" si="5"/>
        <v>2.8004027999999992</v>
      </c>
      <c r="R38">
        <f t="shared" si="4"/>
        <v>58.837547436814233</v>
      </c>
    </row>
    <row r="39" spans="16:18" x14ac:dyDescent="0.25">
      <c r="P39">
        <v>25</v>
      </c>
      <c r="Q39">
        <f t="shared" si="5"/>
        <v>3.5041185999999978</v>
      </c>
      <c r="R39">
        <f t="shared" si="4"/>
        <v>111.49526381040775</v>
      </c>
    </row>
    <row r="40" spans="16:18" x14ac:dyDescent="0.25">
      <c r="P40">
        <v>26</v>
      </c>
      <c r="Q40">
        <f t="shared" si="5"/>
        <v>4.3363759999999987</v>
      </c>
      <c r="R40">
        <f t="shared" si="4"/>
        <v>211.2799461177801</v>
      </c>
    </row>
    <row r="41" spans="16:18" x14ac:dyDescent="0.25">
      <c r="P41">
        <v>27</v>
      </c>
      <c r="Q41">
        <f t="shared" si="5"/>
        <v>5.3120219999999962</v>
      </c>
      <c r="R41">
        <f t="shared" si="4"/>
        <v>400.36871617648973</v>
      </c>
    </row>
    <row r="42" spans="16:18" x14ac:dyDescent="0.25">
      <c r="P42">
        <v>28</v>
      </c>
      <c r="Q42">
        <f t="shared" si="5"/>
        <v>6.4467099999999995</v>
      </c>
      <c r="R42">
        <f t="shared" si="4"/>
        <v>758.68586601897584</v>
      </c>
    </row>
    <row r="43" spans="16:18" x14ac:dyDescent="0.25">
      <c r="P43">
        <v>29</v>
      </c>
      <c r="Q43">
        <f t="shared" si="5"/>
        <v>7.7568997999999958</v>
      </c>
      <c r="R43">
        <f t="shared" si="4"/>
        <v>1437.6853636167386</v>
      </c>
    </row>
    <row r="44" spans="16:18" x14ac:dyDescent="0.25">
      <c r="P44">
        <v>30</v>
      </c>
      <c r="Q44">
        <f t="shared" si="5"/>
        <v>9.2598576000000001</v>
      </c>
      <c r="R44">
        <f t="shared" si="4"/>
        <v>2724.3676168683191</v>
      </c>
    </row>
    <row r="45" spans="16:18" x14ac:dyDescent="0.25">
      <c r="P45">
        <v>31</v>
      </c>
      <c r="Q45">
        <f t="shared" si="5"/>
        <v>10.973655999999997</v>
      </c>
      <c r="R45">
        <f t="shared" si="4"/>
        <v>5162.5891865303738</v>
      </c>
    </row>
    <row r="46" spans="16:18" x14ac:dyDescent="0.25">
      <c r="P46">
        <v>32</v>
      </c>
      <c r="Q46">
        <f t="shared" si="5"/>
        <v>12.917173999999997</v>
      </c>
      <c r="R46">
        <f t="shared" si="4"/>
        <v>9782.9407983924721</v>
      </c>
    </row>
    <row r="47" spans="16:18" x14ac:dyDescent="0.25">
      <c r="P47">
        <v>33</v>
      </c>
      <c r="Q47">
        <f t="shared" si="5"/>
        <v>15.110096999999996</v>
      </c>
      <c r="R47">
        <f t="shared" si="4"/>
        <v>18538.358797666235</v>
      </c>
    </row>
    <row r="48" spans="16:18" x14ac:dyDescent="0.25">
      <c r="P48">
        <v>34</v>
      </c>
      <c r="Q48">
        <f t="shared" si="5"/>
        <v>17.572916799999994</v>
      </c>
      <c r="R48">
        <f t="shared" si="4"/>
        <v>35129.594872687048</v>
      </c>
    </row>
    <row r="49" spans="16:18" x14ac:dyDescent="0.25">
      <c r="P49">
        <v>35</v>
      </c>
      <c r="Q49">
        <f t="shared" si="5"/>
        <v>20.326931599999998</v>
      </c>
      <c r="R49">
        <f t="shared" si="4"/>
        <v>66569.454685194549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Salin-K parameterization</vt:lpstr>
      <vt:lpstr>Old - JB experiments</vt:lpstr>
      <vt:lpstr>a</vt:lpstr>
      <vt:lpstr>a_2</vt:lpstr>
      <vt:lpstr>b</vt:lpstr>
      <vt:lpstr>b_2</vt:lpstr>
      <vt:lpstr>c_2</vt:lpstr>
      <vt:lpstr>cc</vt:lpstr>
      <vt:lpstr>d</vt:lpstr>
      <vt:lpstr>d_2</vt:lpstr>
      <vt:lpstr>e</vt:lpstr>
      <vt:lpstr>e_2</vt:lpstr>
      <vt:lpstr>I0</vt:lpstr>
      <vt:lpstr>K</vt:lpstr>
      <vt:lpstr>MixingDepth</vt:lpstr>
      <vt:lpstr>ml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Greig</dc:creator>
  <cp:lastModifiedBy>Greig</cp:lastModifiedBy>
  <dcterms:created xsi:type="dcterms:W3CDTF">2021-09-29T19:19:40Z</dcterms:created>
  <dcterms:modified xsi:type="dcterms:W3CDTF">2023-05-12T18:59:05Z</dcterms:modified>
</cp:coreProperties>
</file>