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Tree\Учёба\4 sem\Оптика\Лабы\4.4.3\"/>
    </mc:Choice>
  </mc:AlternateContent>
  <xr:revisionPtr revIDLastSave="0" documentId="13_ncr:1_{06F14693-88EE-4CA6-B6B8-845C4D77D5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8" i="1" l="1"/>
  <c r="O50" i="1"/>
  <c r="N50" i="1"/>
  <c r="O48" i="1"/>
  <c r="R44" i="1"/>
  <c r="Q44" i="1"/>
  <c r="Q41" i="1"/>
  <c r="R41" i="1"/>
  <c r="V31" i="1"/>
  <c r="W31" i="1" s="1"/>
  <c r="B41" i="1"/>
  <c r="C30" i="1"/>
  <c r="C31" i="1"/>
  <c r="C32" i="1"/>
  <c r="C33" i="1"/>
  <c r="C34" i="1"/>
  <c r="C35" i="1"/>
  <c r="C36" i="1"/>
  <c r="C29" i="1"/>
  <c r="D11" i="1"/>
  <c r="E11" i="1"/>
  <c r="C11" i="1"/>
  <c r="H10" i="1"/>
  <c r="G10" i="1"/>
  <c r="F10" i="1"/>
  <c r="H8" i="1"/>
  <c r="G8" i="1"/>
  <c r="F8" i="1"/>
  <c r="I16" i="1"/>
  <c r="I17" i="1"/>
  <c r="I18" i="1"/>
  <c r="I19" i="1"/>
  <c r="I20" i="1"/>
  <c r="I21" i="1"/>
  <c r="I22" i="1"/>
  <c r="I15" i="1"/>
  <c r="H16" i="1"/>
  <c r="H17" i="1"/>
  <c r="H18" i="1"/>
  <c r="H19" i="1"/>
  <c r="H20" i="1"/>
  <c r="H21" i="1"/>
  <c r="H22" i="1"/>
  <c r="H15" i="1"/>
  <c r="G16" i="1"/>
  <c r="G17" i="1"/>
  <c r="G18" i="1"/>
  <c r="G19" i="1"/>
  <c r="G20" i="1"/>
  <c r="G21" i="1"/>
  <c r="G22" i="1"/>
  <c r="G15" i="1"/>
  <c r="J16" i="1" l="1"/>
  <c r="J15" i="1"/>
  <c r="J22" i="1"/>
  <c r="J21" i="1"/>
  <c r="J20" i="1"/>
  <c r="J19" i="1"/>
  <c r="J18" i="1"/>
  <c r="J17" i="1"/>
  <c r="I10" i="1"/>
  <c r="I8" i="1"/>
  <c r="L15" i="1" l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</calcChain>
</file>

<file path=xl/sharedStrings.xml><?xml version="1.0" encoding="utf-8"?>
<sst xmlns="http://schemas.openxmlformats.org/spreadsheetml/2006/main" count="49" uniqueCount="44">
  <si>
    <t>Качественные наблюдения</t>
  </si>
  <si>
    <t>Установка призмы и измерение преломляющего угла</t>
  </si>
  <si>
    <t>Исследование спектра ртутной лампы</t>
  </si>
  <si>
    <t>нач положение</t>
  </si>
  <si>
    <t>п.4</t>
  </si>
  <si>
    <t>п.5</t>
  </si>
  <si>
    <t>п.6</t>
  </si>
  <si>
    <t>ж_левый</t>
  </si>
  <si>
    <t>ж_правый</t>
  </si>
  <si>
    <t>длина основания призмы:</t>
  </si>
  <si>
    <t>315*28'51''</t>
  </si>
  <si>
    <t>315*29'59'</t>
  </si>
  <si>
    <t>мин откл ж_левый</t>
  </si>
  <si>
    <t>к1</t>
  </si>
  <si>
    <t>к2</t>
  </si>
  <si>
    <t>ж</t>
  </si>
  <si>
    <t>з</t>
  </si>
  <si>
    <t>314*01,12,,</t>
  </si>
  <si>
    <t>314*29,41,,</t>
  </si>
  <si>
    <t>314*50,59,,</t>
  </si>
  <si>
    <t>314*51,53,,</t>
  </si>
  <si>
    <t>315*12,12,,</t>
  </si>
  <si>
    <t>315*59,18,,</t>
  </si>
  <si>
    <t>ширина</t>
  </si>
  <si>
    <t>314,01,09</t>
  </si>
  <si>
    <t>314,01,34</t>
  </si>
  <si>
    <t>0,01,51</t>
  </si>
  <si>
    <t>0,02,18</t>
  </si>
  <si>
    <t>РАД</t>
  </si>
  <si>
    <t>на шкале</t>
  </si>
  <si>
    <t>н.о.</t>
  </si>
  <si>
    <t>d</t>
  </si>
  <si>
    <t>alpha</t>
  </si>
  <si>
    <t>n</t>
  </si>
  <si>
    <t>318*12,56,,</t>
  </si>
  <si>
    <t>317*49,16,,</t>
  </si>
  <si>
    <t>lambda</t>
  </si>
  <si>
    <t>62*54,44,,</t>
  </si>
  <si>
    <t>315*19,27,,</t>
  </si>
  <si>
    <t>258*26,28,,</t>
  </si>
  <si>
    <t xml:space="preserve">7.4 см </t>
  </si>
  <si>
    <t>0,01,19</t>
  </si>
  <si>
    <t>0,00,54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</si>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</sst>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70" formatCode="#,##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46" fontId="0" fillId="0" borderId="0" xfId="0" applyNumberFormat="1" applyFill="1"/>
    <xf numFmtId="164" fontId="0" fillId="0" borderId="0" xfId="0" applyNumberFormat="1" applyFill="1"/>
    <xf numFmtId="0" fontId="0" fillId="3" borderId="0" xfId="0" applyFill="1"/>
    <xf numFmtId="170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50"/>
  <sheetViews>
    <sheetView tabSelected="1" topLeftCell="A13" zoomScale="85" zoomScaleNormal="85" workbookViewId="0">
      <selection activeCell="P30" sqref="P30"/>
    </sheetView>
  </sheetViews>
  <sheetFormatPr defaultRowHeight="15" x14ac:dyDescent="0.25"/>
  <cols>
    <col min="1" max="1" width="24.42578125" style="2" customWidth="1"/>
    <col min="2" max="2" width="11" style="2" bestFit="1" customWidth="1"/>
    <col min="3" max="3" width="16.85546875" style="2" bestFit="1" customWidth="1"/>
    <col min="4" max="4" width="10" style="2" bestFit="1" customWidth="1"/>
    <col min="5" max="5" width="9.140625" style="2"/>
    <col min="6" max="6" width="13.140625" style="2" customWidth="1"/>
    <col min="7" max="7" width="9.140625" style="2" customWidth="1"/>
    <col min="8" max="11" width="9.140625" style="2"/>
    <col min="12" max="12" width="12.28515625" style="2" bestFit="1" customWidth="1"/>
    <col min="13" max="13" width="9.140625" style="2"/>
    <col min="14" max="14" width="7.7109375" style="2" customWidth="1"/>
    <col min="15" max="15" width="7.28515625" style="2" customWidth="1"/>
    <col min="16" max="17" width="9.140625" style="2"/>
    <col min="18" max="18" width="12.28515625" style="2" bestFit="1" customWidth="1"/>
    <col min="19" max="20" width="9.140625" style="2"/>
    <col min="21" max="21" width="12.28515625" style="2" customWidth="1"/>
    <col min="22" max="22" width="9.140625" style="2" customWidth="1"/>
    <col min="23" max="16384" width="9.140625" style="2"/>
  </cols>
  <sheetData>
    <row r="2" spans="1:13" s="1" customFormat="1" x14ac:dyDescent="0.25">
      <c r="A2" s="1" t="s">
        <v>0</v>
      </c>
      <c r="G2" s="2"/>
    </row>
    <row r="3" spans="1:13" x14ac:dyDescent="0.25">
      <c r="A3" s="2" t="s">
        <v>3</v>
      </c>
    </row>
    <row r="6" spans="1:13" s="1" customFormat="1" x14ac:dyDescent="0.25">
      <c r="A6" s="1" t="s">
        <v>1</v>
      </c>
      <c r="G6" s="2"/>
    </row>
    <row r="7" spans="1:13" x14ac:dyDescent="0.25">
      <c r="A7" s="6" t="s">
        <v>4</v>
      </c>
      <c r="B7" s="6"/>
      <c r="C7" s="6"/>
      <c r="D7" s="6"/>
      <c r="E7" s="6"/>
    </row>
    <row r="8" spans="1:13" x14ac:dyDescent="0.25">
      <c r="A8" s="6" t="s">
        <v>30</v>
      </c>
      <c r="B8" s="6" t="s">
        <v>39</v>
      </c>
      <c r="C8" s="6">
        <v>258</v>
      </c>
      <c r="D8" s="6">
        <v>26</v>
      </c>
      <c r="E8" s="6">
        <v>28</v>
      </c>
      <c r="F8" s="2">
        <f>C8*(PI()/180)</f>
        <v>4.5029494701453698</v>
      </c>
      <c r="G8" s="2">
        <f>D8*(PI()/(180*60))</f>
        <v>7.5630934253087612E-3</v>
      </c>
      <c r="H8" s="2">
        <f>E8*(PI()/(180*60*60))</f>
        <v>1.3574783071067007E-4</v>
      </c>
      <c r="I8" s="2">
        <f>H8+G8+F8</f>
        <v>4.5106483114013889</v>
      </c>
    </row>
    <row r="9" spans="1:13" x14ac:dyDescent="0.25">
      <c r="A9" s="6" t="s">
        <v>12</v>
      </c>
      <c r="B9" s="6" t="s">
        <v>38</v>
      </c>
      <c r="C9" s="6"/>
      <c r="D9" s="6"/>
      <c r="E9" s="6"/>
    </row>
    <row r="10" spans="1:13" x14ac:dyDescent="0.25">
      <c r="A10" s="6" t="s">
        <v>32</v>
      </c>
      <c r="B10" s="6" t="s">
        <v>37</v>
      </c>
      <c r="C10" s="6">
        <v>62</v>
      </c>
      <c r="D10" s="6">
        <v>54</v>
      </c>
      <c r="E10" s="6">
        <v>44</v>
      </c>
      <c r="F10" s="2">
        <f>C10*(PI()/180)</f>
        <v>1.0821041362364843</v>
      </c>
      <c r="G10" s="2">
        <f>D10*(PI()/(180*60))</f>
        <v>1.5707963267948967E-2</v>
      </c>
      <c r="H10" s="2">
        <f>E10*(PI()/(180*60*60))</f>
        <v>2.1331801968819584E-4</v>
      </c>
      <c r="I10" s="2">
        <f>H10+G10+F10</f>
        <v>1.0980254175241215</v>
      </c>
    </row>
    <row r="11" spans="1:13" x14ac:dyDescent="0.25">
      <c r="C11" s="2">
        <f>C8+C10</f>
        <v>320</v>
      </c>
      <c r="D11" s="2">
        <f t="shared" ref="D11:E11" si="0">D8+D10</f>
        <v>80</v>
      </c>
      <c r="E11" s="2">
        <f t="shared" si="0"/>
        <v>72</v>
      </c>
    </row>
    <row r="13" spans="1:13" s="1" customFormat="1" x14ac:dyDescent="0.25">
      <c r="A13" s="1" t="s">
        <v>2</v>
      </c>
      <c r="G13" s="2"/>
    </row>
    <row r="14" spans="1:13" x14ac:dyDescent="0.25">
      <c r="A14" s="2" t="s">
        <v>5</v>
      </c>
      <c r="B14" s="2" t="s">
        <v>29</v>
      </c>
      <c r="J14" s="2" t="s">
        <v>28</v>
      </c>
      <c r="L14" s="2" t="s">
        <v>31</v>
      </c>
      <c r="M14" s="2" t="s">
        <v>33</v>
      </c>
    </row>
    <row r="15" spans="1:13" x14ac:dyDescent="0.25">
      <c r="A15" s="3" t="s">
        <v>13</v>
      </c>
      <c r="B15" s="2" t="s">
        <v>17</v>
      </c>
      <c r="D15" s="2">
        <v>314</v>
      </c>
      <c r="E15" s="2">
        <v>1</v>
      </c>
      <c r="F15" s="2">
        <v>12</v>
      </c>
      <c r="G15" s="2">
        <f>D15*(PI()/180)</f>
        <v>5.4803338512621949</v>
      </c>
      <c r="H15" s="2">
        <f>E15*(PI()/(180*60))</f>
        <v>2.9088820866572158E-4</v>
      </c>
      <c r="I15" s="2">
        <f>F15*(PI()/(180*60*60))</f>
        <v>5.8177641733144322E-5</v>
      </c>
      <c r="J15" s="2">
        <f>I15+H15+G15</f>
        <v>5.4806829171125937</v>
      </c>
      <c r="L15" s="2">
        <f>J15-$I$8</f>
        <v>0.97003460571120481</v>
      </c>
      <c r="M15" s="2">
        <f>SIN(($I$10+L15)/2)/SIN($I$10/2)</f>
        <v>1.6467845424954082</v>
      </c>
    </row>
    <row r="16" spans="1:13" x14ac:dyDescent="0.25">
      <c r="A16" s="3" t="s">
        <v>14</v>
      </c>
      <c r="B16" s="2" t="s">
        <v>18</v>
      </c>
      <c r="D16" s="2">
        <v>314</v>
      </c>
      <c r="E16" s="2">
        <v>29</v>
      </c>
      <c r="F16" s="2">
        <v>41</v>
      </c>
      <c r="G16" s="2">
        <f t="shared" ref="G16:G22" si="1">D16*(PI()/180)</f>
        <v>5.4803338512621949</v>
      </c>
      <c r="H16" s="2">
        <f t="shared" ref="H16:H23" si="2">E16*(PI()/(180*60))</f>
        <v>8.4357580513059263E-3</v>
      </c>
      <c r="I16" s="2">
        <f t="shared" ref="I16:I22" si="3">F16*(PI()/(180*60*60))</f>
        <v>1.9877360925490975E-4</v>
      </c>
      <c r="J16" s="2">
        <f t="shared" ref="J16:J22" si="4">I16+H16+G16</f>
        <v>5.4889683829227556</v>
      </c>
      <c r="L16" s="2">
        <f t="shared" ref="L16:L22" si="5">J16-$I$8</f>
        <v>0.97832007152136669</v>
      </c>
      <c r="M16" s="2">
        <f>SIN(($I$10+L16)/2)/SIN($I$10/2)</f>
        <v>1.6508298918449653</v>
      </c>
    </row>
    <row r="17" spans="1:23" x14ac:dyDescent="0.25">
      <c r="A17" s="3">
        <v>1</v>
      </c>
      <c r="B17" s="2" t="s">
        <v>19</v>
      </c>
      <c r="C17" s="2" t="s">
        <v>15</v>
      </c>
      <c r="D17" s="2">
        <v>314</v>
      </c>
      <c r="E17" s="2">
        <v>50</v>
      </c>
      <c r="F17" s="2">
        <v>59</v>
      </c>
      <c r="G17" s="2">
        <f t="shared" si="1"/>
        <v>5.4803338512621949</v>
      </c>
      <c r="H17" s="2">
        <f t="shared" si="2"/>
        <v>1.454441043328608E-2</v>
      </c>
      <c r="I17" s="2">
        <f t="shared" si="3"/>
        <v>2.8604007185462625E-4</v>
      </c>
      <c r="J17" s="2">
        <f t="shared" si="4"/>
        <v>5.4951643017673355</v>
      </c>
      <c r="L17" s="2">
        <f t="shared" si="5"/>
        <v>0.98451599036594661</v>
      </c>
      <c r="M17" s="2">
        <f>SIN(($I$10+L17)/2)/SIN($I$10/2)</f>
        <v>1.6538365159193749</v>
      </c>
    </row>
    <row r="18" spans="1:23" x14ac:dyDescent="0.25">
      <c r="A18" s="3">
        <v>2</v>
      </c>
      <c r="B18" s="2" t="s">
        <v>20</v>
      </c>
      <c r="C18" s="2" t="s">
        <v>15</v>
      </c>
      <c r="D18" s="2">
        <v>314</v>
      </c>
      <c r="E18" s="2">
        <v>51</v>
      </c>
      <c r="F18" s="2">
        <v>53</v>
      </c>
      <c r="G18" s="2">
        <f t="shared" si="1"/>
        <v>5.4803338512621949</v>
      </c>
      <c r="H18" s="2">
        <f t="shared" si="2"/>
        <v>1.4835298641951801E-2</v>
      </c>
      <c r="I18" s="2">
        <f t="shared" si="3"/>
        <v>2.5695125098805407E-4</v>
      </c>
      <c r="J18" s="2">
        <f t="shared" si="4"/>
        <v>5.4954261011551351</v>
      </c>
      <c r="L18" s="2">
        <f t="shared" si="5"/>
        <v>0.98477778975374619</v>
      </c>
      <c r="M18" s="2">
        <f>SIN(($I$10+L18)/2)/SIN($I$10/2)</f>
        <v>1.6539632070732848</v>
      </c>
    </row>
    <row r="19" spans="1:23" x14ac:dyDescent="0.25">
      <c r="A19" s="3">
        <v>3</v>
      </c>
      <c r="B19" s="2" t="s">
        <v>21</v>
      </c>
      <c r="C19" s="2" t="s">
        <v>16</v>
      </c>
      <c r="D19" s="2">
        <v>315</v>
      </c>
      <c r="E19" s="2">
        <v>12</v>
      </c>
      <c r="F19" s="2">
        <v>12</v>
      </c>
      <c r="G19" s="2">
        <f t="shared" si="1"/>
        <v>5.497787143782138</v>
      </c>
      <c r="H19" s="2">
        <f t="shared" si="2"/>
        <v>3.4906585039886587E-3</v>
      </c>
      <c r="I19" s="2">
        <f t="shared" si="3"/>
        <v>5.8177641733144322E-5</v>
      </c>
      <c r="J19" s="2">
        <f t="shared" si="4"/>
        <v>5.5013359799278598</v>
      </c>
      <c r="L19" s="2">
        <f t="shared" si="5"/>
        <v>0.99068766852647094</v>
      </c>
      <c r="M19" s="2">
        <f>SIN(($I$10+L19)/2)/SIN($I$10/2)</f>
        <v>1.6568155976132415</v>
      </c>
    </row>
    <row r="20" spans="1:23" x14ac:dyDescent="0.25">
      <c r="A20" s="3">
        <v>4</v>
      </c>
      <c r="B20" s="2" t="s">
        <v>22</v>
      </c>
      <c r="D20" s="2">
        <v>315</v>
      </c>
      <c r="E20" s="2">
        <v>59</v>
      </c>
      <c r="F20" s="2">
        <v>18</v>
      </c>
      <c r="G20" s="2">
        <f t="shared" si="1"/>
        <v>5.497787143782138</v>
      </c>
      <c r="H20" s="2">
        <f t="shared" si="2"/>
        <v>1.7162404311277572E-2</v>
      </c>
      <c r="I20" s="2">
        <f t="shared" si="3"/>
        <v>8.7266462599716482E-5</v>
      </c>
      <c r="J20" s="2">
        <f t="shared" si="4"/>
        <v>5.5150368145560149</v>
      </c>
      <c r="L20" s="2">
        <f t="shared" si="5"/>
        <v>1.004388503154626</v>
      </c>
      <c r="M20" s="2">
        <f>SIN(($I$10+L20)/2)/SIN($I$10/2)</f>
        <v>1.6633725899561784</v>
      </c>
    </row>
    <row r="21" spans="1:23" x14ac:dyDescent="0.25">
      <c r="A21" s="3">
        <v>5</v>
      </c>
      <c r="B21" s="2" t="s">
        <v>35</v>
      </c>
      <c r="D21" s="2">
        <v>317</v>
      </c>
      <c r="E21" s="2">
        <v>49</v>
      </c>
      <c r="F21" s="2">
        <v>6</v>
      </c>
      <c r="G21" s="2">
        <f t="shared" si="1"/>
        <v>5.532693728822025</v>
      </c>
      <c r="H21" s="2">
        <f t="shared" si="2"/>
        <v>1.4253522224620358E-2</v>
      </c>
      <c r="I21" s="2">
        <f t="shared" si="3"/>
        <v>2.9088820866572161E-5</v>
      </c>
      <c r="J21" s="2">
        <f t="shared" si="4"/>
        <v>5.5469763398675118</v>
      </c>
      <c r="L21" s="2">
        <f t="shared" si="5"/>
        <v>1.0363280284661229</v>
      </c>
      <c r="M21" s="2">
        <f>SIN(($I$10+L21)/2)/SIN($I$10/2)</f>
        <v>1.6783547013658302</v>
      </c>
    </row>
    <row r="22" spans="1:23" x14ac:dyDescent="0.25">
      <c r="A22" s="3">
        <v>6</v>
      </c>
      <c r="B22" s="2" t="s">
        <v>34</v>
      </c>
      <c r="D22" s="2">
        <v>319</v>
      </c>
      <c r="E22" s="2">
        <v>12</v>
      </c>
      <c r="F22" s="2">
        <v>56</v>
      </c>
      <c r="G22" s="2">
        <f t="shared" si="1"/>
        <v>5.5676003138619112</v>
      </c>
      <c r="H22" s="2">
        <f t="shared" si="2"/>
        <v>3.4906585039886587E-3</v>
      </c>
      <c r="I22" s="2">
        <f t="shared" si="3"/>
        <v>2.7149566142134013E-4</v>
      </c>
      <c r="J22" s="2">
        <f t="shared" si="4"/>
        <v>5.5713624680273215</v>
      </c>
      <c r="L22" s="2">
        <f t="shared" si="5"/>
        <v>1.0607141566259326</v>
      </c>
      <c r="M22" s="2">
        <f>SIN(($I$10+L22)/2)/SIN($I$10/2)</f>
        <v>1.6895057232542279</v>
      </c>
    </row>
    <row r="23" spans="1:23" x14ac:dyDescent="0.25">
      <c r="A23" s="6" t="s">
        <v>6</v>
      </c>
      <c r="B23" s="6"/>
      <c r="C23" s="6"/>
      <c r="D23" s="6" t="s">
        <v>23</v>
      </c>
      <c r="E23" s="6"/>
      <c r="F23" s="6"/>
    </row>
    <row r="24" spans="1:23" x14ac:dyDescent="0.25">
      <c r="A24" s="6" t="s">
        <v>7</v>
      </c>
      <c r="B24" s="6" t="s">
        <v>11</v>
      </c>
      <c r="C24" s="6"/>
      <c r="D24" s="6" t="s">
        <v>13</v>
      </c>
      <c r="E24" s="6">
        <v>1</v>
      </c>
      <c r="F24" s="6">
        <v>2</v>
      </c>
    </row>
    <row r="25" spans="1:23" x14ac:dyDescent="0.25">
      <c r="A25" s="6" t="s">
        <v>8</v>
      </c>
      <c r="B25" s="6" t="s">
        <v>10</v>
      </c>
      <c r="C25" s="6"/>
      <c r="D25" s="6" t="s">
        <v>24</v>
      </c>
      <c r="E25" s="6" t="s">
        <v>41</v>
      </c>
      <c r="F25" s="6" t="s">
        <v>26</v>
      </c>
      <c r="I25" s="2" t="s">
        <v>36</v>
      </c>
      <c r="J25" s="2">
        <v>690.7</v>
      </c>
      <c r="K25" s="2">
        <v>623.4</v>
      </c>
      <c r="L25" s="2">
        <v>579.1</v>
      </c>
      <c r="M25" s="2">
        <v>577</v>
      </c>
      <c r="N25" s="2">
        <v>546.1</v>
      </c>
      <c r="O25" s="2">
        <v>491.6</v>
      </c>
      <c r="P25" s="2">
        <v>435.8</v>
      </c>
      <c r="Q25" s="2">
        <v>404.7</v>
      </c>
    </row>
    <row r="26" spans="1:23" x14ac:dyDescent="0.25">
      <c r="A26" s="6" t="s">
        <v>9</v>
      </c>
      <c r="B26" s="6" t="s">
        <v>40</v>
      </c>
      <c r="C26" s="6"/>
      <c r="D26" s="6" t="s">
        <v>25</v>
      </c>
      <c r="E26" s="6" t="s">
        <v>42</v>
      </c>
      <c r="F26" s="6" t="s">
        <v>27</v>
      </c>
      <c r="I26" s="2" t="s">
        <v>33</v>
      </c>
      <c r="J26" s="7">
        <v>1.6467845424954082</v>
      </c>
      <c r="K26" s="7">
        <v>1.6508298918449653</v>
      </c>
      <c r="L26" s="7">
        <v>1.6538365159193749</v>
      </c>
      <c r="M26" s="7">
        <v>1.6539632070732848</v>
      </c>
      <c r="N26" s="7">
        <v>1.6568155976132415</v>
      </c>
      <c r="O26" s="7">
        <v>1.6633725899561784</v>
      </c>
      <c r="P26" s="7">
        <v>1.6783547013658302</v>
      </c>
      <c r="Q26" s="7">
        <v>1.6895057232542279</v>
      </c>
    </row>
    <row r="27" spans="1:23" x14ac:dyDescent="0.25">
      <c r="A27" s="1"/>
      <c r="B27" s="1"/>
      <c r="C27" s="1"/>
      <c r="D27" s="1"/>
      <c r="E27" s="1"/>
      <c r="F27" s="1"/>
    </row>
    <row r="28" spans="1:23" x14ac:dyDescent="0.25">
      <c r="C28" s="5">
        <v>10.685046296296296</v>
      </c>
      <c r="V28" s="2">
        <v>0.65800000000000003</v>
      </c>
      <c r="W28" s="2">
        <v>1E-3</v>
      </c>
    </row>
    <row r="29" spans="1:23" x14ac:dyDescent="0.25">
      <c r="B29" s="5">
        <v>13.084166666666667</v>
      </c>
      <c r="C29" s="5">
        <f>B29-$C$28</f>
        <v>2.3991203703703707</v>
      </c>
      <c r="V29" s="2">
        <v>1.6E-2</v>
      </c>
      <c r="W29" s="2">
        <v>2E-3</v>
      </c>
    </row>
    <row r="30" spans="1:23" x14ac:dyDescent="0.25">
      <c r="B30" s="5">
        <v>13.103946759259259</v>
      </c>
      <c r="C30" s="5">
        <f t="shared" ref="C30:C36" si="6">B30-$C$28</f>
        <v>2.4189004629629629</v>
      </c>
    </row>
    <row r="31" spans="1:23" x14ac:dyDescent="0.25">
      <c r="B31" s="5">
        <v>13.118738425925926</v>
      </c>
      <c r="C31" s="5">
        <f t="shared" si="6"/>
        <v>2.4336921296296303</v>
      </c>
      <c r="V31" s="2">
        <f>V28/V29</f>
        <v>41.125</v>
      </c>
      <c r="W31" s="2">
        <f>SQRT((W28/V28)^2 + (W29/V29)^2)*V31</f>
        <v>5.1410049251702725</v>
      </c>
    </row>
    <row r="32" spans="1:23" x14ac:dyDescent="0.25">
      <c r="B32" s="5">
        <v>13.119363425925926</v>
      </c>
      <c r="C32" s="5">
        <f t="shared" si="6"/>
        <v>2.4343171296296298</v>
      </c>
      <c r="J32" s="2" t="s">
        <v>36</v>
      </c>
      <c r="K32" s="2" t="s">
        <v>33</v>
      </c>
    </row>
    <row r="33" spans="2:18" x14ac:dyDescent="0.25">
      <c r="B33" s="5">
        <v>13.133472222222222</v>
      </c>
      <c r="C33" s="5">
        <f t="shared" si="6"/>
        <v>2.4484259259259264</v>
      </c>
      <c r="J33" s="2">
        <v>690.7</v>
      </c>
      <c r="K33" s="2">
        <v>1.6467845424954082</v>
      </c>
    </row>
    <row r="34" spans="2:18" x14ac:dyDescent="0.25">
      <c r="B34" s="5">
        <v>13.166180555555556</v>
      </c>
      <c r="C34" s="5">
        <f t="shared" si="6"/>
        <v>2.4811342592592602</v>
      </c>
      <c r="J34" s="2">
        <v>623.4</v>
      </c>
      <c r="K34" s="2">
        <v>1.6508298918449653</v>
      </c>
    </row>
    <row r="35" spans="2:18" x14ac:dyDescent="0.25">
      <c r="B35" s="5">
        <v>13.242430555555556</v>
      </c>
      <c r="C35" s="5">
        <f t="shared" si="6"/>
        <v>2.5573842592592602</v>
      </c>
      <c r="J35" s="2">
        <v>579.1</v>
      </c>
      <c r="K35" s="2">
        <v>1.6538365159193749</v>
      </c>
    </row>
    <row r="36" spans="2:18" x14ac:dyDescent="0.25">
      <c r="B36" s="5">
        <v>13.300648148148149</v>
      </c>
      <c r="C36" s="5">
        <f t="shared" si="6"/>
        <v>2.6156018518518529</v>
      </c>
      <c r="J36" s="2">
        <v>577</v>
      </c>
      <c r="K36" s="2">
        <v>1.6539632070732848</v>
      </c>
    </row>
    <row r="37" spans="2:18" x14ac:dyDescent="0.25">
      <c r="J37" s="2">
        <v>546.1</v>
      </c>
      <c r="K37" s="2">
        <v>1.6568155976132415</v>
      </c>
    </row>
    <row r="38" spans="2:18" x14ac:dyDescent="0.25">
      <c r="J38" s="2">
        <v>491.6</v>
      </c>
      <c r="K38" s="2">
        <v>1.6633725899561784</v>
      </c>
      <c r="Q38" s="2">
        <v>63303</v>
      </c>
      <c r="R38" s="2">
        <v>962</v>
      </c>
    </row>
    <row r="39" spans="2:18" x14ac:dyDescent="0.25">
      <c r="B39" s="4">
        <v>8.0495717592592602</v>
      </c>
      <c r="J39" s="2">
        <v>435.8</v>
      </c>
      <c r="K39" s="2">
        <v>1.6783547013658302</v>
      </c>
      <c r="Q39" s="2">
        <v>7.3999999999999996E-2</v>
      </c>
      <c r="R39" s="2">
        <v>1E-3</v>
      </c>
    </row>
    <row r="40" spans="2:18" x14ac:dyDescent="0.25">
      <c r="B40" s="4">
        <v>3.1734374999999999</v>
      </c>
      <c r="J40" s="2">
        <v>404.7</v>
      </c>
      <c r="K40" s="2">
        <v>1.6895057232542279</v>
      </c>
    </row>
    <row r="41" spans="2:18" x14ac:dyDescent="0.25">
      <c r="B41" s="4">
        <f>AVERAGE(B39:B40)</f>
        <v>5.6115046296296303</v>
      </c>
      <c r="Q41" s="2">
        <f>Q38*Q39</f>
        <v>4684.4219999999996</v>
      </c>
      <c r="R41" s="2">
        <f>SQRT((R38/Q38)^2 + (R39/Q39)^2)*Q41</f>
        <v>95.262800467968589</v>
      </c>
    </row>
    <row r="44" spans="2:18" x14ac:dyDescent="0.25">
      <c r="Q44" s="2">
        <f>Q41*50/74</f>
        <v>3165.1499999999996</v>
      </c>
      <c r="R44" s="2">
        <f>R41*50/74</f>
        <v>64.366757072951756</v>
      </c>
    </row>
    <row r="47" spans="2:18" x14ac:dyDescent="0.25">
      <c r="L47" s="2" t="s">
        <v>43</v>
      </c>
    </row>
    <row r="48" spans="2:18" x14ac:dyDescent="0.25">
      <c r="L48" s="2">
        <v>32</v>
      </c>
      <c r="M48" s="2">
        <v>2</v>
      </c>
      <c r="N48" s="2">
        <f>L48/(60*60)</f>
        <v>8.8888888888888889E-3</v>
      </c>
      <c r="O48" s="2">
        <f>M48/(60*60)</f>
        <v>5.5555555555555556E-4</v>
      </c>
    </row>
    <row r="49" spans="12:15" x14ac:dyDescent="0.25">
      <c r="L49" s="2">
        <v>32</v>
      </c>
      <c r="M49" s="2">
        <v>2</v>
      </c>
    </row>
    <row r="50" spans="12:15" x14ac:dyDescent="0.25">
      <c r="L50" s="2">
        <v>2.1</v>
      </c>
      <c r="N50" s="2">
        <f>N48/2.1</f>
        <v>4.2328042328042322E-3</v>
      </c>
      <c r="O50" s="2">
        <f>O48/2.1</f>
        <v>2.6455026455026451E-4</v>
      </c>
    </row>
  </sheetData>
  <sortState xmlns:xlrd2="http://schemas.microsoft.com/office/spreadsheetml/2017/richdata2" ref="AH65:AI73">
    <sortCondition ref="AI7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golenn</dc:creator>
  <cp:lastModifiedBy>golenn</cp:lastModifiedBy>
  <dcterms:created xsi:type="dcterms:W3CDTF">2015-06-05T18:19:34Z</dcterms:created>
  <dcterms:modified xsi:type="dcterms:W3CDTF">2024-03-23T14:46:11Z</dcterms:modified>
</cp:coreProperties>
</file>