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05" tabRatio="714" activeTab="8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  <sheet name="Riesgo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9" l="1"/>
  <c r="B12" i="9"/>
  <c r="B11" i="9"/>
  <c r="B19" i="9"/>
  <c r="B15" i="9"/>
  <c r="F32" i="6" l="1"/>
  <c r="F26" i="6"/>
  <c r="F27" i="6"/>
  <c r="F28" i="6"/>
  <c r="F30" i="6"/>
  <c r="F31" i="6"/>
  <c r="F25" i="6"/>
  <c r="E31" i="6"/>
  <c r="E30" i="6"/>
  <c r="E28" i="6"/>
  <c r="E27" i="6"/>
  <c r="E26" i="6"/>
  <c r="E25" i="6"/>
  <c r="B31" i="6"/>
  <c r="B30" i="6"/>
  <c r="B28" i="6"/>
  <c r="B27" i="6"/>
  <c r="B26" i="6"/>
  <c r="B25" i="6"/>
  <c r="B23" i="5" l="1"/>
  <c r="B24" i="5"/>
  <c r="B20" i="5" l="1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O83" i="7" l="1"/>
  <c r="N83" i="7"/>
  <c r="M83" i="7"/>
  <c r="L83" i="7"/>
  <c r="L84" i="7" s="1"/>
  <c r="K83" i="7"/>
  <c r="J83" i="7"/>
  <c r="I83" i="7"/>
  <c r="O73" i="7"/>
  <c r="N73" i="7"/>
  <c r="M73" i="7"/>
  <c r="M74" i="7" s="1"/>
  <c r="L73" i="7"/>
  <c r="K73" i="7"/>
  <c r="J73" i="7"/>
  <c r="I73" i="7"/>
  <c r="I74" i="7" s="1"/>
  <c r="O61" i="7"/>
  <c r="N61" i="7"/>
  <c r="M61" i="7"/>
  <c r="L61" i="7"/>
  <c r="K61" i="7"/>
  <c r="J61" i="7"/>
  <c r="I61" i="7"/>
  <c r="O51" i="7"/>
  <c r="N51" i="7"/>
  <c r="N52" i="7" s="1"/>
  <c r="M51" i="7"/>
  <c r="L51" i="7"/>
  <c r="L52" i="7" s="1"/>
  <c r="K51" i="7"/>
  <c r="J51" i="7"/>
  <c r="J52" i="7" s="1"/>
  <c r="I51" i="7"/>
  <c r="O41" i="7"/>
  <c r="N41" i="7"/>
  <c r="M41" i="7"/>
  <c r="M42" i="7" s="1"/>
  <c r="L41" i="7"/>
  <c r="L42" i="7" s="1"/>
  <c r="K41" i="7"/>
  <c r="J41" i="7"/>
  <c r="I41" i="7"/>
  <c r="I42" i="7" s="1"/>
  <c r="O29" i="7"/>
  <c r="N29" i="7"/>
  <c r="M29" i="7"/>
  <c r="M30" i="7" s="1"/>
  <c r="L29" i="7"/>
  <c r="L30" i="7" s="1"/>
  <c r="K29" i="7"/>
  <c r="J29" i="7"/>
  <c r="I29" i="7"/>
  <c r="I30" i="7" s="1"/>
  <c r="O20" i="7"/>
  <c r="N20" i="7"/>
  <c r="M20" i="7"/>
  <c r="L20" i="7"/>
  <c r="K20" i="7"/>
  <c r="J20" i="7"/>
  <c r="I20" i="7"/>
  <c r="I62" i="7"/>
  <c r="O62" i="7"/>
  <c r="N62" i="7"/>
  <c r="M62" i="7"/>
  <c r="L62" i="7"/>
  <c r="K62" i="7"/>
  <c r="J62" i="7"/>
  <c r="O52" i="7"/>
  <c r="M52" i="7"/>
  <c r="K52" i="7"/>
  <c r="I52" i="7"/>
  <c r="O42" i="7"/>
  <c r="N42" i="7"/>
  <c r="K42" i="7"/>
  <c r="J42" i="7"/>
  <c r="O21" i="7"/>
  <c r="N21" i="7"/>
  <c r="M21" i="7"/>
  <c r="L21" i="7"/>
  <c r="K21" i="7"/>
  <c r="J21" i="7"/>
  <c r="I21" i="7"/>
  <c r="O10" i="7"/>
  <c r="I10" i="7"/>
  <c r="I11" i="7" s="1"/>
  <c r="O84" i="7"/>
  <c r="N84" i="7"/>
  <c r="M84" i="7"/>
  <c r="K84" i="7"/>
  <c r="J84" i="7"/>
  <c r="I84" i="7"/>
  <c r="O74" i="7"/>
  <c r="N74" i="7"/>
  <c r="L74" i="7"/>
  <c r="K74" i="7"/>
  <c r="J74" i="7"/>
  <c r="O30" i="7"/>
  <c r="N30" i="7"/>
  <c r="K30" i="7"/>
  <c r="J30" i="7"/>
  <c r="O11" i="7"/>
  <c r="O49" i="7" l="1"/>
  <c r="I49" i="7"/>
  <c r="I50" i="7" s="1"/>
  <c r="O81" i="7"/>
  <c r="I81" i="7"/>
  <c r="I82" i="7" s="1"/>
  <c r="O71" i="7"/>
  <c r="I71" i="7"/>
  <c r="I72" i="7" s="1"/>
  <c r="O59" i="7"/>
  <c r="O60" i="7" s="1"/>
  <c r="I59" i="7"/>
  <c r="C58" i="7" s="1"/>
  <c r="C61" i="7" s="1"/>
  <c r="O39" i="7"/>
  <c r="O40" i="7" s="1"/>
  <c r="I39" i="7"/>
  <c r="C38" i="7" s="1"/>
  <c r="C41" i="7" s="1"/>
  <c r="O27" i="7"/>
  <c r="I27" i="7"/>
  <c r="I28" i="7" s="1"/>
  <c r="O18" i="7"/>
  <c r="I18" i="7"/>
  <c r="O8" i="7"/>
  <c r="I8" i="7"/>
  <c r="H83" i="7"/>
  <c r="G83" i="7"/>
  <c r="F83" i="7"/>
  <c r="E83" i="7"/>
  <c r="D83" i="7"/>
  <c r="O82" i="7"/>
  <c r="N82" i="7"/>
  <c r="M82" i="7"/>
  <c r="L82" i="7"/>
  <c r="K82" i="7"/>
  <c r="J82" i="7"/>
  <c r="H82" i="7"/>
  <c r="G82" i="7"/>
  <c r="F82" i="7"/>
  <c r="E82" i="7"/>
  <c r="D82" i="7"/>
  <c r="H73" i="7"/>
  <c r="G73" i="7"/>
  <c r="G74" i="7" s="1"/>
  <c r="F73" i="7"/>
  <c r="E73" i="7"/>
  <c r="D73" i="7"/>
  <c r="N72" i="7"/>
  <c r="M72" i="7"/>
  <c r="L72" i="7"/>
  <c r="K72" i="7"/>
  <c r="J72" i="7"/>
  <c r="H72" i="7"/>
  <c r="G72" i="7"/>
  <c r="F72" i="7"/>
  <c r="E72" i="7"/>
  <c r="D72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E62" i="7" s="1"/>
  <c r="D60" i="7"/>
  <c r="H51" i="7"/>
  <c r="G51" i="7"/>
  <c r="F51" i="7"/>
  <c r="E51" i="7"/>
  <c r="D51" i="7"/>
  <c r="O50" i="7"/>
  <c r="N50" i="7"/>
  <c r="M50" i="7"/>
  <c r="L50" i="7"/>
  <c r="K50" i="7"/>
  <c r="J50" i="7"/>
  <c r="H50" i="7"/>
  <c r="G50" i="7"/>
  <c r="G52" i="7" s="1"/>
  <c r="F50" i="7"/>
  <c r="F52" i="7" s="1"/>
  <c r="E50" i="7"/>
  <c r="E52" i="7" s="1"/>
  <c r="D50" i="7"/>
  <c r="C48" i="7"/>
  <c r="C51" i="7" s="1"/>
  <c r="H41" i="7"/>
  <c r="G41" i="7"/>
  <c r="F41" i="7"/>
  <c r="E41" i="7"/>
  <c r="D41" i="7"/>
  <c r="N40" i="7"/>
  <c r="M40" i="7"/>
  <c r="L40" i="7"/>
  <c r="K40" i="7"/>
  <c r="J40" i="7"/>
  <c r="H40" i="7"/>
  <c r="G40" i="7"/>
  <c r="F40" i="7"/>
  <c r="E40" i="7"/>
  <c r="D40" i="7"/>
  <c r="H29" i="7"/>
  <c r="G29" i="7"/>
  <c r="F29" i="7"/>
  <c r="E29" i="7"/>
  <c r="D29" i="7"/>
  <c r="O28" i="7"/>
  <c r="N28" i="7"/>
  <c r="M28" i="7"/>
  <c r="L28" i="7"/>
  <c r="K28" i="7"/>
  <c r="J28" i="7"/>
  <c r="H28" i="7"/>
  <c r="G28" i="7"/>
  <c r="G30" i="7" s="1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M19" i="7"/>
  <c r="L19" i="7"/>
  <c r="K19" i="7"/>
  <c r="J19" i="7"/>
  <c r="H19" i="7"/>
  <c r="H21" i="7" s="1"/>
  <c r="G19" i="7"/>
  <c r="F19" i="7"/>
  <c r="E19" i="7"/>
  <c r="D19" i="7"/>
  <c r="D21" i="7" s="1"/>
  <c r="D11" i="7"/>
  <c r="O9" i="7"/>
  <c r="I9" i="7"/>
  <c r="E9" i="7"/>
  <c r="F9" i="7"/>
  <c r="G9" i="7"/>
  <c r="H9" i="7"/>
  <c r="J9" i="7"/>
  <c r="J11" i="7" s="1"/>
  <c r="K9" i="7"/>
  <c r="K11" i="7" s="1"/>
  <c r="L9" i="7"/>
  <c r="M9" i="7"/>
  <c r="N9" i="7"/>
  <c r="N11" i="7" s="1"/>
  <c r="E10" i="7"/>
  <c r="E11" i="7" s="1"/>
  <c r="F10" i="7"/>
  <c r="G10" i="7"/>
  <c r="G11" i="7" s="1"/>
  <c r="H10" i="7"/>
  <c r="J10" i="7"/>
  <c r="K10" i="7"/>
  <c r="L10" i="7"/>
  <c r="M10" i="7"/>
  <c r="N10" i="7"/>
  <c r="D10" i="7"/>
  <c r="D9" i="7"/>
  <c r="C7" i="7"/>
  <c r="C9" i="7" s="1"/>
  <c r="F62" i="7" l="1"/>
  <c r="H84" i="7"/>
  <c r="C17" i="7"/>
  <c r="C20" i="7" s="1"/>
  <c r="M11" i="7"/>
  <c r="H11" i="7"/>
  <c r="F21" i="7"/>
  <c r="O19" i="7"/>
  <c r="D30" i="7"/>
  <c r="H30" i="7"/>
  <c r="F42" i="7"/>
  <c r="G62" i="7"/>
  <c r="F74" i="7"/>
  <c r="E84" i="7"/>
  <c r="C10" i="7"/>
  <c r="F11" i="7"/>
  <c r="L11" i="7"/>
  <c r="G21" i="7"/>
  <c r="G84" i="7"/>
  <c r="F84" i="7"/>
  <c r="C80" i="7"/>
  <c r="C82" i="7" s="1"/>
  <c r="D84" i="7"/>
  <c r="H74" i="7"/>
  <c r="E74" i="7"/>
  <c r="D74" i="7"/>
  <c r="G42" i="7"/>
  <c r="E42" i="7"/>
  <c r="I40" i="7"/>
  <c r="H62" i="7"/>
  <c r="D62" i="7"/>
  <c r="H52" i="7"/>
  <c r="D52" i="7"/>
  <c r="C83" i="7"/>
  <c r="C70" i="7"/>
  <c r="O72" i="7"/>
  <c r="I19" i="7"/>
  <c r="D91" i="7"/>
  <c r="H42" i="7"/>
  <c r="D42" i="7"/>
  <c r="C60" i="7"/>
  <c r="C50" i="7"/>
  <c r="C40" i="7"/>
  <c r="C28" i="7"/>
  <c r="C19" i="7"/>
  <c r="G8" i="1"/>
  <c r="H4" i="1"/>
  <c r="H5" i="1"/>
  <c r="H3" i="1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D94" i="7" l="1"/>
  <c r="C9" i="1" s="1"/>
  <c r="E91" i="7"/>
  <c r="C72" i="7"/>
  <c r="C73" i="7"/>
  <c r="J14" i="6"/>
  <c r="I6" i="6"/>
  <c r="J7" i="6"/>
  <c r="H12" i="6"/>
  <c r="I7" i="6"/>
  <c r="H14" i="6"/>
  <c r="F15" i="8"/>
  <c r="C18" i="6" s="1"/>
  <c r="D18" i="6" s="1"/>
  <c r="C8" i="5"/>
  <c r="B6" i="5"/>
  <c r="B11" i="5"/>
  <c r="B13" i="5"/>
  <c r="F91" i="7" l="1"/>
  <c r="F94" i="7" s="1"/>
  <c r="C33" i="1" s="1"/>
  <c r="C34" i="1" s="1"/>
  <c r="C35" i="1" s="1"/>
  <c r="E94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19" i="1" s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M3" i="2"/>
  <c r="D9" i="2"/>
  <c r="G31" i="1"/>
  <c r="G17" i="1"/>
  <c r="G16" i="1"/>
  <c r="G15" i="1"/>
  <c r="G20" i="1"/>
  <c r="E3" i="2"/>
  <c r="C3" i="2"/>
  <c r="E8" i="2"/>
  <c r="B28" i="2" s="1"/>
  <c r="D32" i="2" s="1"/>
  <c r="D33" i="2" s="1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L32" i="2" l="1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27" i="1"/>
  <c r="G32" i="1"/>
  <c r="E8" i="5" s="1"/>
  <c r="G29" i="1"/>
  <c r="G28" i="1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H3" i="2" l="1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E11" i="5" s="1"/>
  <c r="C11" i="5"/>
  <c r="C6" i="5"/>
  <c r="H9" i="2"/>
  <c r="F9" i="2"/>
  <c r="F11" i="2" s="1"/>
  <c r="D5" i="5" s="1"/>
  <c r="I10" i="5" s="1"/>
  <c r="B45" i="2" l="1"/>
  <c r="N44" i="2"/>
  <c r="N45" i="2" s="1"/>
  <c r="E24" i="3"/>
  <c r="C13" i="5"/>
  <c r="C15" i="5" s="1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E29" i="3" l="1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<sst xmlns="http://schemas.openxmlformats.org/spreadsheetml/2006/main" count="473" uniqueCount="220">
  <si>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</si>
  <si>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</si>
  <si>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</si>
  <si>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</si>
  <si>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</si>
  <si>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</si>
  <si>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</si>
  <si>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</si>
  <si>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</si>
  <si>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</si>
  <si>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</si>
  <si>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</si>
  <si>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</si>
  <si>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</si>
  <si>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</si>
  <si>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</si>
  <si>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</si>
  <si>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</si>
  <si>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</si>
  <si>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</si>
  <si>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</si>
  <si>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</si>
  <si>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</si>
  <si>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</si>
  <si>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</si>
  <si>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</si>
  <si>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</si>
  <si>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</si>
  <si>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</si>
  <si>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</si>
  <si>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</si>
  <si>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</si>
  <si>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</si>
  <si>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</si>
  <si>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</si>
  <si>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</si>
  <si>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</si>
  <si>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</si>
  <si>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</si>
  <si>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</si>
  <si>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</si>
  <si>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</si>
  <si>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</si>
  <si>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</si>
  <si>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</si>
  <si>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</si>
  <si>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</si>
  <si>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</si>
  <si>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</si>
  <si>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</si>
  <si>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</si>
  <si>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</si>
  <si>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</si>
  <si>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</si>
  <si>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</si>
  <si>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</si>
  <si>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</si>
  <si>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</si>
  <si>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</si>
  <si>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</si>
  <si>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</si>
  <si>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</si>
  <si>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</si>
  <si>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</si>
  <si>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</si>
  <si>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</si>
  <si>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</si>
  <si>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</si>
  <si>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</si>
  <si>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</si>
  <si>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</si>
  <si>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</si>
  <si>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</si>
  <si>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</si>
  <si>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</si>
  <si>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</si>
  <si>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</si>
  <si>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</si>
  <si>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</si>
  <si>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</si>
  <si>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</si>
  <si>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</si>
  <si>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</si>
  <si>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</si>
  <si>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</si>
  <si>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</si>
  <si>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</si>
  <si>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</si>
  <si>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</si>
  <si>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</si>
  <si>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</si>
  <si>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</si>
  <si>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</si>
  <si>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</si>
  <si>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</si>
  <si>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</si>
  <si>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</si>
  <si>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</si>
  <si>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</si>
  <si>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</si>
  <si>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</si>
  <si>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</si>
  <si>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</si>
  <si>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</si>
  <si>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</si>
  <si>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</si>
  <si>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</si>
  <si>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</si>
  <si>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</si>
  <si>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</si>
  <si>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</si>
  <si>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</si>
  <si>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</si>
  <si>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</si>
  <si>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</si>
  <si>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</si>
  <si>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</si>
  <si>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</si>
  <si>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Desarrollo EventosIT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</si>
  <si>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</si>
  <si>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</si>
  <si>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</si>
  <si>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</si>
  <si>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</si>
  <si>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</si>
  <si>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</si>
  <si>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</si>
  <si>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</si>
  <si>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</si>
  <si>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</si>
  <si>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</si>
  <si>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</si>
  <si>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</si>
  <si>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</si>
  <si>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</si>
  <si>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</si>
  <si>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</si>
  <si>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</si>
  <si>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</si>
  <si>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</si>
  <si>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</si>
  <si>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</si>
  <si>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</si>
  <si>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</si>
  <si>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</si>
  <si>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</si>
  <si>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</si>
  <si>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</si>
  <si>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</si>
  <si>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</si>
  <si>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</si>
  <si>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</si>
  <si>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</si>
  <si>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</si>
  <si>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</si>
  <si>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</si>
  <si>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</si>
  <si>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</si>
  <si>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</si>
  <si>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</si>
  <si>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</si>
  <si>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</si>
  <si>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Año 2. Se suman 3 recursos</t>
  </si>
  <si>
    <t>Año 3. Se suman 2 recursos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</si>
  <si>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</si>
  <si>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</si>
  <si>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</si>
  <si>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</si>
  <si>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</si>
  <si>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</si>
  <si>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</si>
  <si>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</si>
  <si>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</si>
  <si>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</si>
  <si>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</si>
  <si>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</si>
  <si>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</si>
  <si>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</si>
  <si>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</si>
  <si>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</si>
  <si>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por venta</t>
  </si>
  <si>
    <t>Matriz de Riesgo</t>
  </si>
  <si>
    <t>Riesgo</t>
  </si>
  <si>
    <t>Causa</t>
  </si>
  <si>
    <t>Efecto</t>
  </si>
  <si>
    <t>Ocurrencia (P)</t>
  </si>
  <si>
    <t>Impacto</t>
  </si>
  <si>
    <t>Prioridad</t>
  </si>
  <si>
    <t>No se alcanzan las ventas esperadas</t>
  </si>
  <si>
    <t>La inflacion alcanza un porcentaje no esperado</t>
  </si>
  <si>
    <t>La coyuntura del pais no es buena economicamente</t>
  </si>
  <si>
    <t>Nuevos competidores</t>
  </si>
  <si>
    <t>Aumentan retenciones al turismo</t>
  </si>
  <si>
    <t>Nuevo metodo de recaudacion por el estado</t>
  </si>
  <si>
    <t>Se arranca con malas ventas los primeros dos años</t>
  </si>
  <si>
    <t>La inflacion es de un 30% constante por año</t>
  </si>
  <si>
    <t>Aumenta el costo de vida, y baja el empleo</t>
  </si>
  <si>
    <t>Aparecen nuevos competidores copiando nuestro sistema</t>
  </si>
  <si>
    <t>Menos inversores se interesan en invertir en turismo</t>
  </si>
  <si>
    <t>No se puede cubrir los costos minimos</t>
  </si>
  <si>
    <t>Los costos fijos aumentaran un 30%</t>
  </si>
  <si>
    <t>Las ventas diminuyen un 20%</t>
  </si>
  <si>
    <t>Menos inversores en codiciones de invertir. Las ventas disminuyen un 30%</t>
  </si>
  <si>
    <t>Baja</t>
  </si>
  <si>
    <t>Media</t>
  </si>
  <si>
    <t>Alta</t>
  </si>
  <si>
    <t>Probabilidad</t>
  </si>
  <si>
    <t>Valor de activos a los 3 años</t>
  </si>
  <si>
    <t>Anos Amortizacion</t>
  </si>
  <si>
    <t>A los 3 a;os</t>
  </si>
  <si>
    <t>Resultado parcial</t>
  </si>
  <si>
    <t>Analista desarrollador</t>
  </si>
  <si>
    <t>Gerente IT</t>
  </si>
  <si>
    <t>Gerente Mkt</t>
  </si>
  <si>
    <t>Tecnico de Infraestructura</t>
  </si>
  <si>
    <t>Responsable Gd Clientes</t>
  </si>
  <si>
    <t xml:space="preserve">Responsable promociones </t>
  </si>
  <si>
    <t>Responsable nv mercados</t>
  </si>
  <si>
    <t>Cargo</t>
  </si>
  <si>
    <t>Indeminazion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</si>
</sst>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43" applyNumberFormat="0" applyAlignment="0" applyProtection="0"/>
  </cellStyleXfs>
  <cellXfs count="21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7" fillId="3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4" borderId="0" xfId="2" applyNumberFormat="1" applyFont="1" applyFill="1"/>
    <xf numFmtId="166" fontId="13" fillId="4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/>
    <xf numFmtId="164" fontId="1" fillId="0" borderId="0" xfId="0" applyNumberFormat="1" applyFont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6" borderId="1" xfId="0" applyFont="1" applyFill="1" applyBorder="1"/>
    <xf numFmtId="164" fontId="0" fillId="6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 vertical="center"/>
    </xf>
    <xf numFmtId="0" fontId="2" fillId="7" borderId="16" xfId="0" applyFont="1" applyFill="1" applyBorder="1"/>
    <xf numFmtId="0" fontId="21" fillId="7" borderId="16" xfId="0" applyFont="1" applyFill="1" applyBorder="1"/>
    <xf numFmtId="0" fontId="2" fillId="7" borderId="18" xfId="0" applyFont="1" applyFill="1" applyBorder="1"/>
    <xf numFmtId="0" fontId="2" fillId="7" borderId="22" xfId="0" applyFont="1" applyFill="1" applyBorder="1"/>
    <xf numFmtId="0" fontId="21" fillId="7" borderId="7" xfId="0" applyFont="1" applyFill="1" applyBorder="1"/>
    <xf numFmtId="0" fontId="21" fillId="7" borderId="30" xfId="0" applyFont="1" applyFill="1" applyBorder="1"/>
    <xf numFmtId="0" fontId="21" fillId="7" borderId="12" xfId="0" applyFont="1" applyFill="1" applyBorder="1"/>
    <xf numFmtId="0" fontId="21" fillId="7" borderId="5" xfId="0" applyFont="1" applyFill="1" applyBorder="1"/>
    <xf numFmtId="0" fontId="21" fillId="7" borderId="2" xfId="0" applyFont="1" applyFill="1" applyBorder="1"/>
    <xf numFmtId="0" fontId="8" fillId="7" borderId="2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21" fillId="7" borderId="0" xfId="0" applyFont="1" applyFill="1"/>
    <xf numFmtId="0" fontId="2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6" xfId="0" applyFont="1" applyFill="1" applyBorder="1" applyAlignment="1"/>
    <xf numFmtId="164" fontId="12" fillId="7" borderId="1" xfId="0" applyNumberFormat="1" applyFont="1" applyFill="1" applyBorder="1"/>
    <xf numFmtId="49" fontId="18" fillId="7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7" borderId="1" xfId="0" applyNumberFormat="1" applyFont="1" applyFill="1" applyBorder="1" applyAlignment="1">
      <alignment horizontal="center"/>
    </xf>
    <xf numFmtId="49" fontId="18" fillId="7" borderId="1" xfId="0" applyNumberFormat="1" applyFont="1" applyFill="1" applyBorder="1" applyAlignment="1">
      <alignment horizontal="center"/>
    </xf>
    <xf numFmtId="167" fontId="19" fillId="7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/>
    <xf numFmtId="0" fontId="2" fillId="8" borderId="0" xfId="0" applyFont="1" applyFill="1"/>
    <xf numFmtId="0" fontId="21" fillId="8" borderId="0" xfId="0" applyFont="1" applyFill="1"/>
    <xf numFmtId="167" fontId="15" fillId="7" borderId="0" xfId="0" applyNumberFormat="1" applyFont="1" applyFill="1"/>
    <xf numFmtId="167" fontId="15" fillId="7" borderId="2" xfId="0" applyNumberFormat="1" applyFont="1" applyFill="1" applyBorder="1"/>
    <xf numFmtId="0" fontId="3" fillId="7" borderId="5" xfId="0" applyFont="1" applyFill="1" applyBorder="1"/>
    <xf numFmtId="0" fontId="3" fillId="7" borderId="21" xfId="0" applyFont="1" applyFill="1" applyBorder="1"/>
    <xf numFmtId="168" fontId="15" fillId="7" borderId="4" xfId="1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9" fontId="3" fillId="4" borderId="19" xfId="1" applyFont="1" applyFill="1" applyBorder="1" applyAlignment="1">
      <alignment horizontal="right"/>
    </xf>
    <xf numFmtId="8" fontId="3" fillId="4" borderId="6" xfId="0" applyNumberFormat="1" applyFont="1" applyFill="1" applyBorder="1"/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3" borderId="0" xfId="0" applyFill="1" applyAlignment="1">
      <alignment wrapText="1"/>
    </xf>
    <xf numFmtId="0" fontId="22" fillId="9" borderId="0" xfId="3"/>
    <xf numFmtId="0" fontId="24" fillId="11" borderId="0" xfId="5"/>
    <xf numFmtId="0" fontId="23" fillId="10" borderId="0" xfId="4"/>
    <xf numFmtId="0" fontId="25" fillId="12" borderId="43" xfId="6"/>
    <xf numFmtId="164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164" fontId="0" fillId="13" borderId="0" xfId="0" applyNumberFormat="1" applyFill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1" fillId="7" borderId="14" xfId="0" applyFont="1" applyFill="1" applyBorder="1" applyAlignment="1">
      <alignment horizontal="center"/>
    </xf>
    <xf numFmtId="0" fontId="21" fillId="7" borderId="15" xfId="0" applyFont="1" applyFill="1" applyBorder="1" applyAlignment="1">
      <alignment horizontal="center"/>
    </xf>
    <xf numFmtId="0" fontId="21" fillId="7" borderId="20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 vertical="center"/>
    </xf>
    <xf numFmtId="0" fontId="21" fillId="7" borderId="38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6" fillId="0" borderId="0" xfId="0" applyFont="1"/>
  </cellXfs>
  <cellStyles count="7">
    <cellStyle name="Bad" xfId="4" builtinId="27"/>
    <cellStyle name="Good" xfId="3" builtinId="26"/>
    <cellStyle name="Input" xfId="6" builtinId="20"/>
    <cellStyle name="Moneda 2" xfId="2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198</c:v>
                </c:pt>
                <c:pt idx="1">
                  <c:v>290</c:v>
                </c:pt>
                <c:pt idx="2">
                  <c:v>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51616"/>
        <c:axId val="102975168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2376000</c:v>
                </c:pt>
                <c:pt idx="1">
                  <c:v>3480000</c:v>
                </c:pt>
                <c:pt idx="2">
                  <c:v>4716000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2640"/>
        <c:axId val="102975744"/>
      </c:lineChart>
      <c:catAx>
        <c:axId val="1031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75168"/>
        <c:crosses val="autoZero"/>
        <c:auto val="1"/>
        <c:lblAlgn val="ctr"/>
        <c:lblOffset val="100"/>
        <c:noMultiLvlLbl val="0"/>
      </c:catAx>
      <c:valAx>
        <c:axId val="1029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151616"/>
        <c:crosses val="autoZero"/>
        <c:crossBetween val="between"/>
      </c:valAx>
      <c:valAx>
        <c:axId val="102975744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152640"/>
        <c:crosses val="max"/>
        <c:crossBetween val="between"/>
      </c:valAx>
      <c:catAx>
        <c:axId val="10315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97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1.98</c:v>
                </c:pt>
                <c:pt idx="2">
                  <c:v>3.96</c:v>
                </c:pt>
                <c:pt idx="3">
                  <c:v>7.92</c:v>
                </c:pt>
                <c:pt idx="4">
                  <c:v>9.9</c:v>
                </c:pt>
                <c:pt idx="5">
                  <c:v>15.84</c:v>
                </c:pt>
                <c:pt idx="6">
                  <c:v>23.759999999999998</c:v>
                </c:pt>
                <c:pt idx="7">
                  <c:v>19.8</c:v>
                </c:pt>
                <c:pt idx="8">
                  <c:v>27.720000000000002</c:v>
                </c:pt>
                <c:pt idx="9">
                  <c:v>25.740000000000002</c:v>
                </c:pt>
                <c:pt idx="10">
                  <c:v>31.68</c:v>
                </c:pt>
                <c:pt idx="11">
                  <c:v>29.7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84000"/>
        <c:axId val="102978048"/>
      </c:lineChart>
      <c:catAx>
        <c:axId val="104384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78048"/>
        <c:crosses val="autoZero"/>
        <c:auto val="1"/>
        <c:lblAlgn val="ctr"/>
        <c:lblOffset val="100"/>
        <c:noMultiLvlLbl val="0"/>
      </c:catAx>
      <c:valAx>
        <c:axId val="10297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3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23.2</c:v>
                </c:pt>
                <c:pt idx="1">
                  <c:v>26.099999999999998</c:v>
                </c:pt>
                <c:pt idx="2">
                  <c:v>17.399999999999999</c:v>
                </c:pt>
                <c:pt idx="3">
                  <c:v>20.3</c:v>
                </c:pt>
                <c:pt idx="4">
                  <c:v>17.399999999999999</c:v>
                </c:pt>
                <c:pt idx="5">
                  <c:v>20.3</c:v>
                </c:pt>
                <c:pt idx="6">
                  <c:v>17.399999999999999</c:v>
                </c:pt>
                <c:pt idx="7">
                  <c:v>26.099999999999998</c:v>
                </c:pt>
                <c:pt idx="8">
                  <c:v>23.2</c:v>
                </c:pt>
                <c:pt idx="9">
                  <c:v>29</c:v>
                </c:pt>
                <c:pt idx="10">
                  <c:v>34.799999999999997</c:v>
                </c:pt>
                <c:pt idx="11">
                  <c:v>34.799999999999997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85024"/>
        <c:axId val="102980352"/>
      </c:lineChart>
      <c:catAx>
        <c:axId val="10438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80352"/>
        <c:crosses val="autoZero"/>
        <c:auto val="1"/>
        <c:lblAlgn val="ctr"/>
        <c:lblOffset val="100"/>
        <c:noMultiLvlLbl val="0"/>
      </c:catAx>
      <c:valAx>
        <c:axId val="10298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3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31.44</c:v>
                </c:pt>
                <c:pt idx="1">
                  <c:v>27.51</c:v>
                </c:pt>
                <c:pt idx="2">
                  <c:v>23.58</c:v>
                </c:pt>
                <c:pt idx="3">
                  <c:v>35.369999999999997</c:v>
                </c:pt>
                <c:pt idx="4">
                  <c:v>31.44</c:v>
                </c:pt>
                <c:pt idx="5">
                  <c:v>29.474999999999998</c:v>
                </c:pt>
                <c:pt idx="6">
                  <c:v>27.51</c:v>
                </c:pt>
                <c:pt idx="7">
                  <c:v>31.44</c:v>
                </c:pt>
                <c:pt idx="8">
                  <c:v>31.44</c:v>
                </c:pt>
                <c:pt idx="9">
                  <c:v>35.369999999999997</c:v>
                </c:pt>
                <c:pt idx="10">
                  <c:v>43.23</c:v>
                </c:pt>
                <c:pt idx="11">
                  <c:v>45.195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86048"/>
        <c:axId val="104850560"/>
      </c:lineChart>
      <c:catAx>
        <c:axId val="10438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850560"/>
        <c:crosses val="autoZero"/>
        <c:auto val="1"/>
        <c:lblAlgn val="ctr"/>
        <c:lblOffset val="100"/>
        <c:noMultiLvlLbl val="0"/>
      </c:catAx>
      <c:valAx>
        <c:axId val="10485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0944"/>
        <c:axId val="104852864"/>
      </c:lineChart>
      <c:catAx>
        <c:axId val="7477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852864"/>
        <c:crosses val="autoZero"/>
        <c:auto val="1"/>
        <c:lblAlgn val="ctr"/>
        <c:lblOffset val="100"/>
        <c:noMultiLvlLbl val="0"/>
      </c:catAx>
      <c:valAx>
        <c:axId val="10485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7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13" sqref="D13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169" t="s">
        <v>32</v>
      </c>
      <c r="B4" s="170" t="s">
        <v>40</v>
      </c>
      <c r="C4" s="170" t="s">
        <v>41</v>
      </c>
      <c r="D4" s="170" t="s">
        <v>42</v>
      </c>
    </row>
    <row r="5" spans="1:5" ht="18.75" thickBot="1" x14ac:dyDescent="0.3">
      <c r="A5" s="20" t="s">
        <v>171</v>
      </c>
      <c r="B5" s="22">
        <v>198</v>
      </c>
      <c r="C5" s="22">
        <v>290</v>
      </c>
      <c r="D5" s="22">
        <v>393</v>
      </c>
    </row>
    <row r="6" spans="1:5" ht="18.75" thickBot="1" x14ac:dyDescent="0.3">
      <c r="A6" s="72" t="s">
        <v>148</v>
      </c>
      <c r="B6" s="73">
        <f>E16*B5</f>
        <v>2376000</v>
      </c>
      <c r="C6" s="73">
        <f>E16*C5</f>
        <v>3480000</v>
      </c>
      <c r="D6" s="73">
        <f>E16*D5</f>
        <v>4716000</v>
      </c>
    </row>
    <row r="11" spans="1:5" ht="18" x14ac:dyDescent="0.25">
      <c r="D11" s="21" t="s">
        <v>180</v>
      </c>
    </row>
    <row r="12" spans="1:5" ht="15.75" thickBot="1" x14ac:dyDescent="0.3"/>
    <row r="13" spans="1:5" x14ac:dyDescent="0.25">
      <c r="D13" s="69" t="s">
        <v>173</v>
      </c>
    </row>
    <row r="14" spans="1:5" ht="15.75" thickBot="1" x14ac:dyDescent="0.3">
      <c r="D14" s="71" t="s">
        <v>175</v>
      </c>
    </row>
    <row r="15" spans="1:5" x14ac:dyDescent="0.25">
      <c r="E15" s="70" t="s">
        <v>174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E25" sqref="E25:H32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3" bestFit="1" customWidth="1"/>
  </cols>
  <sheetData>
    <row r="1" spans="1:10" ht="18.75" x14ac:dyDescent="0.3">
      <c r="A1" s="181" t="s">
        <v>97</v>
      </c>
      <c r="B1" s="182"/>
      <c r="C1" s="183"/>
      <c r="E1" s="181" t="s">
        <v>102</v>
      </c>
      <c r="F1" s="182"/>
      <c r="G1" s="183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5" t="s">
        <v>144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5000</v>
      </c>
      <c r="H3" s="46">
        <f>G3/$G$7</f>
        <v>0.60240963855421692</v>
      </c>
      <c r="I3" s="42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6">
        <f t="shared" ref="H4:H5" si="0">G4/$G$7</f>
        <v>0.18072289156626506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6">
        <f t="shared" si="0"/>
        <v>0.21686746987951808</v>
      </c>
      <c r="I5" s="28"/>
    </row>
    <row r="6" spans="1:10" ht="15.75" thickBot="1" x14ac:dyDescent="0.3">
      <c r="A6" s="4" t="s">
        <v>5</v>
      </c>
      <c r="B6" s="5" t="s">
        <v>4</v>
      </c>
      <c r="C6" s="9">
        <v>1300</v>
      </c>
      <c r="E6" s="4"/>
      <c r="F6" s="5"/>
      <c r="G6" s="9"/>
      <c r="I6" s="28"/>
      <c r="J6" s="23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8300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0" t="s">
        <v>100</v>
      </c>
      <c r="G8" s="13">
        <f>G7*12</f>
        <v>99600</v>
      </c>
    </row>
    <row r="9" spans="1:10" ht="15.75" thickBot="1" x14ac:dyDescent="0.3">
      <c r="A9" s="10" t="s">
        <v>8</v>
      </c>
      <c r="B9" s="11" t="s">
        <v>4</v>
      </c>
      <c r="C9" s="12">
        <f>Recursos!D94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4"/>
      <c r="B11" s="31" t="s">
        <v>100</v>
      </c>
      <c r="C11" s="29">
        <f>C10*12</f>
        <v>1782000</v>
      </c>
    </row>
    <row r="12" spans="1:10" ht="15.75" thickBot="1" x14ac:dyDescent="0.3">
      <c r="A12" s="6"/>
    </row>
    <row r="13" spans="1:10" ht="18.75" x14ac:dyDescent="0.3">
      <c r="A13" s="181" t="s">
        <v>98</v>
      </c>
      <c r="B13" s="182"/>
      <c r="C13" s="183"/>
      <c r="E13" s="181" t="s">
        <v>103</v>
      </c>
      <c r="F13" s="182"/>
      <c r="G13" s="183"/>
      <c r="H13" s="47" t="s">
        <v>145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48">
        <f>('Mercado Meta'!C5-'Mercado Meta'!B5)/'Mercado Meta'!B5</f>
        <v>0.46464646464646464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7323.2323232323242</v>
      </c>
      <c r="I15" s="42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2196.969696969697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2636.3636363636365</v>
      </c>
      <c r="H17" s="44"/>
      <c r="I17" s="28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/>
      <c r="F18" s="5"/>
      <c r="G18" s="9"/>
      <c r="H18" s="44"/>
      <c r="I18" s="28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12156.565656565657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0" t="s">
        <v>100</v>
      </c>
      <c r="G20" s="13">
        <f>G19*12</f>
        <v>145878.7878787879</v>
      </c>
    </row>
    <row r="21" spans="1:9" ht="15.75" thickBot="1" x14ac:dyDescent="0.3">
      <c r="A21" s="10" t="s">
        <v>8</v>
      </c>
      <c r="B21" s="11" t="s">
        <v>4</v>
      </c>
      <c r="C21" s="12">
        <f>Recursos!E94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4"/>
      <c r="B23" s="31" t="s">
        <v>100</v>
      </c>
      <c r="C23" s="29">
        <f>C22*12</f>
        <v>2913000</v>
      </c>
    </row>
    <row r="24" spans="1:9" ht="15.75" thickBot="1" x14ac:dyDescent="0.3"/>
    <row r="25" spans="1:9" ht="18.75" x14ac:dyDescent="0.3">
      <c r="A25" s="181" t="s">
        <v>99</v>
      </c>
      <c r="B25" s="182"/>
      <c r="C25" s="183"/>
      <c r="E25" s="181" t="s">
        <v>104</v>
      </c>
      <c r="F25" s="182"/>
      <c r="G25" s="183"/>
      <c r="H25" s="47" t="s">
        <v>146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48">
        <f>('Mercado Meta'!D5-'Mercado Meta'!C5)/'Mercado Meta'!C5</f>
        <v>0.35517241379310344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9924.2424242424258</v>
      </c>
      <c r="I27" s="42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2977.272727272727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3572.727272727273</v>
      </c>
      <c r="H29" s="44"/>
      <c r="I29" s="28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/>
      <c r="F30" s="5"/>
      <c r="G30" s="9"/>
      <c r="H30" s="44"/>
      <c r="I30" s="28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16474.242424242424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0" t="s">
        <v>100</v>
      </c>
      <c r="G32" s="13">
        <f>G31*12</f>
        <v>197690.90909090909</v>
      </c>
    </row>
    <row r="33" spans="1:3" ht="15.75" thickBot="1" x14ac:dyDescent="0.3">
      <c r="A33" s="10" t="s">
        <v>8</v>
      </c>
      <c r="B33" s="11" t="s">
        <v>4</v>
      </c>
      <c r="C33" s="12">
        <f>+Recursos!F94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4"/>
      <c r="B35" s="31" t="s">
        <v>100</v>
      </c>
      <c r="C35" s="29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22" zoomScale="70" zoomScaleNormal="70" workbookViewId="0">
      <selection activeCell="B41" sqref="B41:N45"/>
    </sheetView>
  </sheetViews>
  <sheetFormatPr defaultColWidth="11.42578125" defaultRowHeight="18.75" x14ac:dyDescent="0.3"/>
  <cols>
    <col min="1" max="1" width="11.42578125" style="74"/>
    <col min="2" max="2" width="28" style="74" bestFit="1" customWidth="1"/>
    <col min="3" max="3" width="15.140625" style="74" bestFit="1" customWidth="1"/>
    <col min="4" max="7" width="14.85546875" style="74" customWidth="1"/>
    <col min="8" max="8" width="17.42578125" style="74" bestFit="1" customWidth="1"/>
    <col min="9" max="9" width="14" style="74" customWidth="1"/>
    <col min="10" max="10" width="21.5703125" style="74" bestFit="1" customWidth="1"/>
    <col min="11" max="11" width="18.5703125" style="74" bestFit="1" customWidth="1"/>
    <col min="12" max="12" width="12.5703125" style="74" customWidth="1"/>
    <col min="13" max="13" width="12.5703125" style="74" bestFit="1" customWidth="1"/>
    <col min="14" max="14" width="14.7109375" style="74" bestFit="1" customWidth="1"/>
    <col min="15" max="15" width="11.42578125" style="74"/>
  </cols>
  <sheetData>
    <row r="1" spans="2:13" ht="19.5" thickBot="1" x14ac:dyDescent="0.35">
      <c r="C1" s="184" t="s">
        <v>34</v>
      </c>
      <c r="D1" s="185"/>
      <c r="E1" s="184" t="s">
        <v>35</v>
      </c>
      <c r="F1" s="185"/>
      <c r="G1" s="184" t="s">
        <v>36</v>
      </c>
      <c r="H1" s="185"/>
      <c r="I1" s="76"/>
      <c r="K1" s="135" t="s">
        <v>19</v>
      </c>
      <c r="L1" s="136" t="s">
        <v>20</v>
      </c>
      <c r="M1" s="137" t="s">
        <v>21</v>
      </c>
    </row>
    <row r="2" spans="2:13" x14ac:dyDescent="0.3">
      <c r="B2" s="131" t="s">
        <v>177</v>
      </c>
      <c r="C2" s="77">
        <f>'Mercado Meta'!B5/12</f>
        <v>16.5</v>
      </c>
      <c r="D2" s="78"/>
      <c r="E2" s="77">
        <f>'Mercado Meta'!C5/12</f>
        <v>24.166666666666668</v>
      </c>
      <c r="F2" s="78"/>
      <c r="G2" s="77">
        <f>'Mercado Meta'!D5/12</f>
        <v>32.75</v>
      </c>
      <c r="H2" s="78"/>
      <c r="I2" s="79"/>
      <c r="J2" s="139" t="s">
        <v>23</v>
      </c>
      <c r="K2" s="81">
        <f>C2</f>
        <v>16.5</v>
      </c>
      <c r="L2" s="81">
        <f>E2</f>
        <v>24.166666666666668</v>
      </c>
      <c r="M2" s="78">
        <f>G2</f>
        <v>32.75</v>
      </c>
    </row>
    <row r="3" spans="2:13" x14ac:dyDescent="0.3">
      <c r="B3" s="132" t="s">
        <v>17</v>
      </c>
      <c r="C3" s="82">
        <f>C2</f>
        <v>16.5</v>
      </c>
      <c r="D3" s="83">
        <f>C3*$L$11</f>
        <v>198000</v>
      </c>
      <c r="E3" s="82">
        <f>E2</f>
        <v>24.166666666666668</v>
      </c>
      <c r="F3" s="83">
        <f>E3*$L$11</f>
        <v>290000</v>
      </c>
      <c r="G3" s="82">
        <f>G2</f>
        <v>32.75</v>
      </c>
      <c r="H3" s="83">
        <f>G3*$L$11</f>
        <v>393000</v>
      </c>
      <c r="I3" s="84"/>
      <c r="J3" s="138" t="s">
        <v>33</v>
      </c>
      <c r="K3" s="85"/>
      <c r="L3" s="86">
        <f>(L2-K2)/K2</f>
        <v>0.4646464646464647</v>
      </c>
      <c r="M3" s="87">
        <f>(M2-L2)/L2</f>
        <v>0.35517241379310338</v>
      </c>
    </row>
    <row r="4" spans="2:13" ht="19.5" thickBot="1" x14ac:dyDescent="0.35">
      <c r="B4" s="132"/>
      <c r="C4" s="88"/>
      <c r="D4" s="89"/>
      <c r="E4" s="88"/>
      <c r="F4" s="89"/>
      <c r="G4" s="88"/>
      <c r="H4" s="89"/>
      <c r="I4" s="84"/>
      <c r="J4" s="138" t="s">
        <v>90</v>
      </c>
      <c r="K4" s="90">
        <v>12000</v>
      </c>
      <c r="L4" s="90">
        <v>12000</v>
      </c>
      <c r="M4" s="90">
        <v>12000</v>
      </c>
    </row>
    <row r="5" spans="2:13" ht="19.5" thickBot="1" x14ac:dyDescent="0.35">
      <c r="B5" s="133" t="s">
        <v>17</v>
      </c>
      <c r="C5" s="92"/>
      <c r="D5" s="93">
        <f>D3+D4</f>
        <v>198000</v>
      </c>
      <c r="E5" s="91"/>
      <c r="F5" s="93">
        <f>F3+F4</f>
        <v>290000</v>
      </c>
      <c r="G5" s="91"/>
      <c r="H5" s="93">
        <f>H3+H4</f>
        <v>393000</v>
      </c>
      <c r="I5" s="94"/>
      <c r="J5" s="95"/>
      <c r="K5" s="96"/>
      <c r="L5" s="96"/>
      <c r="M5" s="96"/>
    </row>
    <row r="6" spans="2:13" ht="19.5" thickBot="1" x14ac:dyDescent="0.35"/>
    <row r="7" spans="2:13" ht="19.5" thickBot="1" x14ac:dyDescent="0.35">
      <c r="C7" s="186" t="s">
        <v>19</v>
      </c>
      <c r="D7" s="187"/>
      <c r="E7" s="186" t="s">
        <v>20</v>
      </c>
      <c r="F7" s="187"/>
      <c r="G7" s="186" t="s">
        <v>21</v>
      </c>
      <c r="H7" s="187"/>
      <c r="I7" s="76"/>
    </row>
    <row r="8" spans="2:13" x14ac:dyDescent="0.3">
      <c r="B8" s="131" t="s">
        <v>178</v>
      </c>
      <c r="C8" s="80">
        <f>'Mercado Meta'!B5</f>
        <v>198</v>
      </c>
      <c r="D8" s="97"/>
      <c r="E8" s="98">
        <f>(C8*L3)+C8</f>
        <v>290</v>
      </c>
      <c r="F8" s="97"/>
      <c r="G8" s="98">
        <f>(E8*M3)+E8</f>
        <v>393</v>
      </c>
      <c r="H8" s="97"/>
      <c r="I8" s="79"/>
    </row>
    <row r="9" spans="2:13" ht="19.5" thickBot="1" x14ac:dyDescent="0.35">
      <c r="B9" s="132" t="s">
        <v>18</v>
      </c>
      <c r="C9" s="82">
        <f>C8</f>
        <v>198</v>
      </c>
      <c r="D9" s="100">
        <f>C9*$K$4</f>
        <v>2376000</v>
      </c>
      <c r="E9" s="82">
        <f>E8</f>
        <v>290</v>
      </c>
      <c r="F9" s="100">
        <f>E9*$L$4</f>
        <v>3480000</v>
      </c>
      <c r="G9" s="82">
        <f>G8</f>
        <v>393</v>
      </c>
      <c r="H9" s="100">
        <f>G9*$M$4</f>
        <v>4716000</v>
      </c>
      <c r="I9" s="84"/>
    </row>
    <row r="10" spans="2:13" ht="19.5" thickBot="1" x14ac:dyDescent="0.35">
      <c r="B10" s="132"/>
      <c r="C10" s="88"/>
      <c r="D10" s="101"/>
      <c r="E10" s="88"/>
      <c r="F10" s="101"/>
      <c r="G10" s="88"/>
      <c r="H10" s="101"/>
      <c r="I10" s="84"/>
      <c r="K10" s="140" t="s">
        <v>173</v>
      </c>
      <c r="L10" s="142" t="s">
        <v>174</v>
      </c>
    </row>
    <row r="11" spans="2:13" ht="19.5" thickBot="1" x14ac:dyDescent="0.35">
      <c r="B11" s="134" t="s">
        <v>18</v>
      </c>
      <c r="C11" s="92"/>
      <c r="D11" s="93">
        <f>D9+D10</f>
        <v>2376000</v>
      </c>
      <c r="E11" s="91"/>
      <c r="F11" s="93">
        <f>F9+F10</f>
        <v>3480000</v>
      </c>
      <c r="G11" s="91"/>
      <c r="H11" s="93">
        <f>H9+H10</f>
        <v>4716000</v>
      </c>
      <c r="I11" s="94"/>
      <c r="K11" s="141" t="s">
        <v>175</v>
      </c>
      <c r="L11" s="15">
        <v>12000</v>
      </c>
    </row>
    <row r="16" spans="2:13" x14ac:dyDescent="0.3">
      <c r="B16" s="75"/>
      <c r="C16" s="74">
        <v>2200</v>
      </c>
    </row>
    <row r="17" spans="1:14" x14ac:dyDescent="0.3">
      <c r="B17" s="75">
        <f>'Mercado Meta'!B5</f>
        <v>198</v>
      </c>
    </row>
    <row r="18" spans="1:14" x14ac:dyDescent="0.3">
      <c r="B18" s="143" t="s">
        <v>37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</row>
    <row r="19" spans="1:14" x14ac:dyDescent="0.3">
      <c r="B19" s="102">
        <v>0</v>
      </c>
      <c r="C19" s="102">
        <v>0.01</v>
      </c>
      <c r="D19" s="102">
        <v>0.02</v>
      </c>
      <c r="E19" s="102">
        <v>0.04</v>
      </c>
      <c r="F19" s="102">
        <v>0.05</v>
      </c>
      <c r="G19" s="102">
        <v>0.08</v>
      </c>
      <c r="H19" s="102">
        <v>0.12</v>
      </c>
      <c r="I19" s="102">
        <v>0.1</v>
      </c>
      <c r="J19" s="102">
        <v>0.14000000000000001</v>
      </c>
      <c r="K19" s="102">
        <v>0.13</v>
      </c>
      <c r="L19" s="102">
        <v>0.16</v>
      </c>
      <c r="M19" s="102">
        <v>0.15</v>
      </c>
      <c r="N19" s="102">
        <f>SUM(B19:M19)</f>
        <v>1</v>
      </c>
    </row>
    <row r="20" spans="1:14" x14ac:dyDescent="0.3">
      <c r="B20" s="144" t="s">
        <v>43</v>
      </c>
      <c r="C20" s="144" t="s">
        <v>44</v>
      </c>
      <c r="D20" s="144" t="s">
        <v>45</v>
      </c>
      <c r="E20" s="144" t="s">
        <v>46</v>
      </c>
      <c r="F20" s="144" t="s">
        <v>47</v>
      </c>
      <c r="G20" s="144" t="s">
        <v>48</v>
      </c>
      <c r="H20" s="144" t="s">
        <v>49</v>
      </c>
      <c r="I20" s="144" t="s">
        <v>50</v>
      </c>
      <c r="J20" s="144" t="s">
        <v>51</v>
      </c>
      <c r="K20" s="144" t="s">
        <v>52</v>
      </c>
      <c r="L20" s="144" t="s">
        <v>53</v>
      </c>
      <c r="M20" s="144" t="s">
        <v>54</v>
      </c>
      <c r="N20" s="144"/>
    </row>
    <row r="21" spans="1:14" x14ac:dyDescent="0.3">
      <c r="A21" s="74" t="s">
        <v>80</v>
      </c>
      <c r="B21" s="103">
        <f>$B$17*B19</f>
        <v>0</v>
      </c>
      <c r="C21" s="103">
        <f t="shared" ref="C21:M21" si="0">$B$17*C19</f>
        <v>1.98</v>
      </c>
      <c r="D21" s="103">
        <f t="shared" si="0"/>
        <v>3.96</v>
      </c>
      <c r="E21" s="103">
        <f t="shared" si="0"/>
        <v>7.92</v>
      </c>
      <c r="F21" s="103">
        <f t="shared" si="0"/>
        <v>9.9</v>
      </c>
      <c r="G21" s="103">
        <f t="shared" si="0"/>
        <v>15.84</v>
      </c>
      <c r="H21" s="103">
        <f t="shared" si="0"/>
        <v>23.759999999999998</v>
      </c>
      <c r="I21" s="103">
        <f t="shared" si="0"/>
        <v>19.8</v>
      </c>
      <c r="J21" s="103">
        <f t="shared" si="0"/>
        <v>27.720000000000002</v>
      </c>
      <c r="K21" s="103">
        <f t="shared" si="0"/>
        <v>25.740000000000002</v>
      </c>
      <c r="L21" s="103">
        <f t="shared" si="0"/>
        <v>31.68</v>
      </c>
      <c r="M21" s="103">
        <f t="shared" si="0"/>
        <v>29.7</v>
      </c>
      <c r="N21" s="103">
        <f>SUM(B21:M21)</f>
        <v>198</v>
      </c>
    </row>
    <row r="22" spans="1:14" x14ac:dyDescent="0.3">
      <c r="A22" s="74" t="s">
        <v>79</v>
      </c>
      <c r="B22" s="99">
        <f>IFERROR(B21*$L$11,0)</f>
        <v>0</v>
      </c>
      <c r="C22" s="99">
        <f t="shared" ref="C22:N22" si="1">IFERROR(C21*$L$11,0)</f>
        <v>23760</v>
      </c>
      <c r="D22" s="99">
        <f t="shared" si="1"/>
        <v>47520</v>
      </c>
      <c r="E22" s="99">
        <f t="shared" si="1"/>
        <v>95040</v>
      </c>
      <c r="F22" s="99">
        <f t="shared" si="1"/>
        <v>118800</v>
      </c>
      <c r="G22" s="99">
        <f t="shared" si="1"/>
        <v>190080</v>
      </c>
      <c r="H22" s="99">
        <f t="shared" si="1"/>
        <v>285120</v>
      </c>
      <c r="I22" s="99">
        <f t="shared" si="1"/>
        <v>237600</v>
      </c>
      <c r="J22" s="99">
        <f t="shared" si="1"/>
        <v>332640</v>
      </c>
      <c r="K22" s="99">
        <f t="shared" si="1"/>
        <v>308880</v>
      </c>
      <c r="L22" s="99">
        <f t="shared" si="1"/>
        <v>380160</v>
      </c>
      <c r="M22" s="99">
        <f t="shared" si="1"/>
        <v>356400</v>
      </c>
      <c r="N22" s="99">
        <f t="shared" si="1"/>
        <v>2376000</v>
      </c>
    </row>
    <row r="23" spans="1:14" x14ac:dyDescent="0.3">
      <c r="B23" s="74">
        <v>15</v>
      </c>
      <c r="C23" s="74">
        <v>15</v>
      </c>
      <c r="D23" s="74">
        <v>15</v>
      </c>
      <c r="E23" s="74">
        <v>15</v>
      </c>
      <c r="F23" s="74">
        <v>15</v>
      </c>
      <c r="G23" s="74">
        <v>15</v>
      </c>
      <c r="H23" s="74">
        <v>15</v>
      </c>
      <c r="I23" s="74">
        <v>15</v>
      </c>
      <c r="J23" s="74">
        <v>15</v>
      </c>
      <c r="K23" s="74">
        <v>15</v>
      </c>
      <c r="L23" s="74">
        <v>15</v>
      </c>
      <c r="M23" s="74">
        <v>15</v>
      </c>
    </row>
    <row r="28" spans="1:14" x14ac:dyDescent="0.3">
      <c r="B28" s="104">
        <f>E8</f>
        <v>290</v>
      </c>
    </row>
    <row r="29" spans="1:14" x14ac:dyDescent="0.3">
      <c r="B29" s="143" t="s">
        <v>38</v>
      </c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</row>
    <row r="30" spans="1:14" x14ac:dyDescent="0.3">
      <c r="B30" s="102">
        <v>0.08</v>
      </c>
      <c r="C30" s="102">
        <v>0.09</v>
      </c>
      <c r="D30" s="102">
        <v>0.06</v>
      </c>
      <c r="E30" s="102">
        <v>7.0000000000000007E-2</v>
      </c>
      <c r="F30" s="102">
        <v>0.06</v>
      </c>
      <c r="G30" s="102">
        <v>7.0000000000000007E-2</v>
      </c>
      <c r="H30" s="102">
        <v>0.06</v>
      </c>
      <c r="I30" s="102">
        <v>0.09</v>
      </c>
      <c r="J30" s="102">
        <v>0.08</v>
      </c>
      <c r="K30" s="102">
        <v>0.1</v>
      </c>
      <c r="L30" s="102">
        <v>0.12</v>
      </c>
      <c r="M30" s="102">
        <v>0.12</v>
      </c>
      <c r="N30" s="102">
        <f>SUM(B30:M30)</f>
        <v>0.99999999999999989</v>
      </c>
    </row>
    <row r="31" spans="1:14" x14ac:dyDescent="0.3">
      <c r="B31" s="144" t="s">
        <v>55</v>
      </c>
      <c r="C31" s="144" t="s">
        <v>56</v>
      </c>
      <c r="D31" s="144" t="s">
        <v>57</v>
      </c>
      <c r="E31" s="144" t="s">
        <v>58</v>
      </c>
      <c r="F31" s="144" t="s">
        <v>59</v>
      </c>
      <c r="G31" s="144" t="s">
        <v>60</v>
      </c>
      <c r="H31" s="144" t="s">
        <v>61</v>
      </c>
      <c r="I31" s="144" t="s">
        <v>62</v>
      </c>
      <c r="J31" s="144" t="s">
        <v>63</v>
      </c>
      <c r="K31" s="144" t="s">
        <v>64</v>
      </c>
      <c r="L31" s="144" t="s">
        <v>65</v>
      </c>
      <c r="M31" s="144" t="s">
        <v>66</v>
      </c>
      <c r="N31" s="144"/>
    </row>
    <row r="32" spans="1:14" x14ac:dyDescent="0.3">
      <c r="A32" s="74" t="s">
        <v>80</v>
      </c>
      <c r="B32" s="103">
        <f>$B$28*B30</f>
        <v>23.2</v>
      </c>
      <c r="C32" s="103">
        <f t="shared" ref="C32:M32" si="2">$B$28*C30</f>
        <v>26.099999999999998</v>
      </c>
      <c r="D32" s="103">
        <f t="shared" si="2"/>
        <v>17.399999999999999</v>
      </c>
      <c r="E32" s="103">
        <f t="shared" si="2"/>
        <v>20.3</v>
      </c>
      <c r="F32" s="103">
        <f t="shared" si="2"/>
        <v>17.399999999999999</v>
      </c>
      <c r="G32" s="103">
        <f t="shared" si="2"/>
        <v>20.3</v>
      </c>
      <c r="H32" s="103">
        <f t="shared" si="2"/>
        <v>17.399999999999999</v>
      </c>
      <c r="I32" s="103">
        <f t="shared" si="2"/>
        <v>26.099999999999998</v>
      </c>
      <c r="J32" s="103">
        <f t="shared" si="2"/>
        <v>23.2</v>
      </c>
      <c r="K32" s="103">
        <f t="shared" si="2"/>
        <v>29</v>
      </c>
      <c r="L32" s="103">
        <f t="shared" si="2"/>
        <v>34.799999999999997</v>
      </c>
      <c r="M32" s="103">
        <f t="shared" si="2"/>
        <v>34.799999999999997</v>
      </c>
      <c r="N32" s="103">
        <f>SUM(B32:M32)</f>
        <v>289.99999999999994</v>
      </c>
    </row>
    <row r="33" spans="1:14" x14ac:dyDescent="0.3">
      <c r="A33" s="74" t="s">
        <v>79</v>
      </c>
      <c r="B33" s="99">
        <f t="shared" ref="B33:C33" si="3">IFERROR(B32*$L$11,0)</f>
        <v>278400</v>
      </c>
      <c r="C33" s="99">
        <f t="shared" si="3"/>
        <v>313200</v>
      </c>
      <c r="D33" s="99">
        <f t="shared" ref="D33" si="4">IFERROR(D32*$L$11,0)</f>
        <v>208799.99999999997</v>
      </c>
      <c r="E33" s="99">
        <f t="shared" ref="E33" si="5">IFERROR(E32*$L$11,0)</f>
        <v>243600</v>
      </c>
      <c r="F33" s="99">
        <f t="shared" ref="F33" si="6">IFERROR(F32*$L$11,0)</f>
        <v>208799.99999999997</v>
      </c>
      <c r="G33" s="99">
        <f t="shared" ref="G33" si="7">IFERROR(G32*$L$11,0)</f>
        <v>243600</v>
      </c>
      <c r="H33" s="99">
        <f t="shared" ref="H33" si="8">IFERROR(H32*$L$11,0)</f>
        <v>208799.99999999997</v>
      </c>
      <c r="I33" s="99">
        <f t="shared" ref="I33" si="9">IFERROR(I32*$L$11,0)</f>
        <v>313200</v>
      </c>
      <c r="J33" s="99">
        <f t="shared" ref="J33" si="10">IFERROR(J32*$L$11,0)</f>
        <v>278400</v>
      </c>
      <c r="K33" s="99">
        <f t="shared" ref="K33" si="11">IFERROR(K32*$L$11,0)</f>
        <v>348000</v>
      </c>
      <c r="L33" s="99">
        <f t="shared" ref="L33" si="12">IFERROR(L32*$L$11,0)</f>
        <v>417599.99999999994</v>
      </c>
      <c r="M33" s="99">
        <f t="shared" ref="M33" si="13">IFERROR(M32*$L$11,0)</f>
        <v>417599.99999999994</v>
      </c>
      <c r="N33" s="99">
        <f t="shared" ref="N33" si="14">IFERROR(N32*$L$11,0)</f>
        <v>3479999.9999999995</v>
      </c>
    </row>
    <row r="34" spans="1:14" x14ac:dyDescent="0.3">
      <c r="B34" s="74">
        <v>15</v>
      </c>
      <c r="C34" s="74">
        <v>15</v>
      </c>
      <c r="D34" s="74">
        <v>15</v>
      </c>
      <c r="E34" s="74">
        <v>15</v>
      </c>
      <c r="F34" s="74">
        <v>15</v>
      </c>
      <c r="G34" s="74">
        <v>15</v>
      </c>
      <c r="H34" s="74">
        <v>15</v>
      </c>
      <c r="I34" s="74">
        <v>15</v>
      </c>
      <c r="J34" s="74">
        <v>15</v>
      </c>
      <c r="K34" s="74">
        <v>15</v>
      </c>
      <c r="L34" s="74">
        <v>15</v>
      </c>
      <c r="M34" s="74">
        <v>15</v>
      </c>
    </row>
    <row r="40" spans="1:14" x14ac:dyDescent="0.3">
      <c r="B40" s="104">
        <f>G9</f>
        <v>393</v>
      </c>
    </row>
    <row r="41" spans="1:14" x14ac:dyDescent="0.3">
      <c r="B41" s="143" t="s">
        <v>39</v>
      </c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</row>
    <row r="42" spans="1:14" x14ac:dyDescent="0.3">
      <c r="B42" s="102">
        <v>0.08</v>
      </c>
      <c r="C42" s="102">
        <v>7.0000000000000007E-2</v>
      </c>
      <c r="D42" s="102">
        <v>0.06</v>
      </c>
      <c r="E42" s="102">
        <v>0.09</v>
      </c>
      <c r="F42" s="102">
        <v>0.08</v>
      </c>
      <c r="G42" s="102">
        <v>7.4999999999999997E-2</v>
      </c>
      <c r="H42" s="102">
        <v>7.0000000000000007E-2</v>
      </c>
      <c r="I42" s="102">
        <v>0.08</v>
      </c>
      <c r="J42" s="102">
        <v>0.08</v>
      </c>
      <c r="K42" s="102">
        <v>0.09</v>
      </c>
      <c r="L42" s="102">
        <v>0.11</v>
      </c>
      <c r="M42" s="102">
        <v>0.115</v>
      </c>
      <c r="N42" s="102">
        <f>SUM(B42:M42)</f>
        <v>1</v>
      </c>
    </row>
    <row r="43" spans="1:14" x14ac:dyDescent="0.3">
      <c r="B43" s="144" t="s">
        <v>67</v>
      </c>
      <c r="C43" s="144" t="s">
        <v>68</v>
      </c>
      <c r="D43" s="144" t="s">
        <v>69</v>
      </c>
      <c r="E43" s="144" t="s">
        <v>70</v>
      </c>
      <c r="F43" s="144" t="s">
        <v>71</v>
      </c>
      <c r="G43" s="144" t="s">
        <v>72</v>
      </c>
      <c r="H43" s="144" t="s">
        <v>73</v>
      </c>
      <c r="I43" s="144" t="s">
        <v>74</v>
      </c>
      <c r="J43" s="144" t="s">
        <v>75</v>
      </c>
      <c r="K43" s="144" t="s">
        <v>76</v>
      </c>
      <c r="L43" s="144" t="s">
        <v>77</v>
      </c>
      <c r="M43" s="144" t="s">
        <v>78</v>
      </c>
      <c r="N43" s="144"/>
    </row>
    <row r="44" spans="1:14" x14ac:dyDescent="0.3">
      <c r="A44" s="74" t="s">
        <v>80</v>
      </c>
      <c r="B44" s="103">
        <f>$B$40*B42</f>
        <v>31.44</v>
      </c>
      <c r="C44" s="103">
        <f t="shared" ref="C44:M44" si="15">$B$40*C42</f>
        <v>27.51</v>
      </c>
      <c r="D44" s="103">
        <f t="shared" si="15"/>
        <v>23.58</v>
      </c>
      <c r="E44" s="103">
        <f t="shared" si="15"/>
        <v>35.369999999999997</v>
      </c>
      <c r="F44" s="103">
        <f t="shared" si="15"/>
        <v>31.44</v>
      </c>
      <c r="G44" s="103">
        <f t="shared" si="15"/>
        <v>29.474999999999998</v>
      </c>
      <c r="H44" s="103">
        <f t="shared" si="15"/>
        <v>27.51</v>
      </c>
      <c r="I44" s="103">
        <f t="shared" si="15"/>
        <v>31.44</v>
      </c>
      <c r="J44" s="103">
        <f t="shared" si="15"/>
        <v>31.44</v>
      </c>
      <c r="K44" s="103">
        <f t="shared" si="15"/>
        <v>35.369999999999997</v>
      </c>
      <c r="L44" s="103">
        <f t="shared" si="15"/>
        <v>43.23</v>
      </c>
      <c r="M44" s="103">
        <f t="shared" si="15"/>
        <v>45.195</v>
      </c>
      <c r="N44" s="103">
        <f>SUM(B44:M44)</f>
        <v>393</v>
      </c>
    </row>
    <row r="45" spans="1:14" x14ac:dyDescent="0.3">
      <c r="A45" s="74" t="s">
        <v>79</v>
      </c>
      <c r="B45" s="99">
        <f t="shared" ref="B45:N45" si="16">IFERROR(B44*$L$11,0)</f>
        <v>377280</v>
      </c>
      <c r="C45" s="99">
        <f t="shared" si="16"/>
        <v>330120</v>
      </c>
      <c r="D45" s="99">
        <f t="shared" si="16"/>
        <v>282960</v>
      </c>
      <c r="E45" s="99">
        <f t="shared" si="16"/>
        <v>424439.99999999994</v>
      </c>
      <c r="F45" s="99">
        <f t="shared" si="16"/>
        <v>377280</v>
      </c>
      <c r="G45" s="99">
        <f t="shared" si="16"/>
        <v>353700</v>
      </c>
      <c r="H45" s="99">
        <f t="shared" si="16"/>
        <v>330120</v>
      </c>
      <c r="I45" s="99">
        <f t="shared" si="16"/>
        <v>377280</v>
      </c>
      <c r="J45" s="99">
        <f t="shared" si="16"/>
        <v>377280</v>
      </c>
      <c r="K45" s="99">
        <f t="shared" si="16"/>
        <v>424439.99999999994</v>
      </c>
      <c r="L45" s="99">
        <f t="shared" si="16"/>
        <v>518759.99999999994</v>
      </c>
      <c r="M45" s="99">
        <f t="shared" si="16"/>
        <v>542340</v>
      </c>
      <c r="N45" s="99">
        <f t="shared" si="16"/>
        <v>4716000</v>
      </c>
    </row>
    <row r="46" spans="1:14" x14ac:dyDescent="0.3">
      <c r="B46" s="74">
        <v>15</v>
      </c>
      <c r="C46" s="74">
        <v>15</v>
      </c>
      <c r="D46" s="74">
        <v>15</v>
      </c>
      <c r="E46" s="74">
        <v>15</v>
      </c>
      <c r="F46" s="74">
        <v>15</v>
      </c>
      <c r="G46" s="74">
        <v>15</v>
      </c>
      <c r="H46" s="74">
        <v>15</v>
      </c>
      <c r="I46" s="74">
        <v>15</v>
      </c>
      <c r="J46" s="74">
        <v>15</v>
      </c>
      <c r="K46" s="74">
        <v>15</v>
      </c>
      <c r="L46" s="74">
        <v>15</v>
      </c>
      <c r="M46" s="74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A18" sqref="A18:F38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5" t="s">
        <v>170</v>
      </c>
    </row>
    <row r="2" spans="1:12" ht="15.75" thickBot="1" x14ac:dyDescent="0.3"/>
    <row r="3" spans="1:12" x14ac:dyDescent="0.25">
      <c r="B3" s="194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95"/>
      <c r="C4" s="121" t="s">
        <v>10</v>
      </c>
      <c r="D4" s="122" t="s">
        <v>4</v>
      </c>
      <c r="E4" s="123">
        <v>2600</v>
      </c>
      <c r="K4" s="28"/>
    </row>
    <row r="5" spans="1:12" x14ac:dyDescent="0.25">
      <c r="B5" s="195"/>
      <c r="C5" s="121" t="s">
        <v>13</v>
      </c>
      <c r="D5" s="122" t="s">
        <v>4</v>
      </c>
      <c r="E5" s="123">
        <v>11900</v>
      </c>
      <c r="K5" s="107"/>
    </row>
    <row r="6" spans="1:12" x14ac:dyDescent="0.25">
      <c r="B6" s="195"/>
      <c r="C6" s="121" t="s">
        <v>11</v>
      </c>
      <c r="D6" s="122" t="s">
        <v>4</v>
      </c>
      <c r="E6" s="123">
        <v>1900</v>
      </c>
    </row>
    <row r="7" spans="1:12" x14ac:dyDescent="0.25">
      <c r="B7" s="195"/>
      <c r="C7" s="121" t="s">
        <v>5</v>
      </c>
      <c r="D7" s="122" t="s">
        <v>4</v>
      </c>
      <c r="E7" s="123">
        <v>1400</v>
      </c>
      <c r="K7" s="25"/>
      <c r="L7" s="111"/>
    </row>
    <row r="8" spans="1:12" x14ac:dyDescent="0.25">
      <c r="B8" s="195"/>
      <c r="C8" s="121" t="s">
        <v>6</v>
      </c>
      <c r="D8" s="122" t="s">
        <v>4</v>
      </c>
      <c r="E8" s="123">
        <v>600</v>
      </c>
      <c r="G8" s="35" t="s">
        <v>176</v>
      </c>
      <c r="H8" s="35">
        <v>12000</v>
      </c>
    </row>
    <row r="9" spans="1:12" x14ac:dyDescent="0.25">
      <c r="B9" s="195"/>
      <c r="C9" s="121" t="s">
        <v>7</v>
      </c>
      <c r="D9" s="122" t="s">
        <v>4</v>
      </c>
      <c r="E9" s="123">
        <v>2300</v>
      </c>
    </row>
    <row r="10" spans="1:12" ht="15.75" thickBot="1" x14ac:dyDescent="0.3">
      <c r="B10" s="196"/>
      <c r="C10" s="124" t="s">
        <v>8</v>
      </c>
      <c r="D10" s="125" t="s">
        <v>4</v>
      </c>
      <c r="E10" s="126">
        <v>130000</v>
      </c>
    </row>
    <row r="11" spans="1:12" x14ac:dyDescent="0.25">
      <c r="B11" s="194" t="s">
        <v>22</v>
      </c>
      <c r="C11" s="121" t="s">
        <v>14</v>
      </c>
      <c r="D11" s="122" t="s">
        <v>4</v>
      </c>
      <c r="E11" s="123">
        <v>5000</v>
      </c>
    </row>
    <row r="12" spans="1:12" x14ac:dyDescent="0.25">
      <c r="B12" s="195"/>
      <c r="C12" s="121" t="s">
        <v>15</v>
      </c>
      <c r="D12" s="122" t="s">
        <v>4</v>
      </c>
      <c r="E12" s="123">
        <v>1500</v>
      </c>
    </row>
    <row r="13" spans="1:12" ht="15.75" thickBot="1" x14ac:dyDescent="0.3">
      <c r="B13" s="196"/>
      <c r="C13" s="127" t="s">
        <v>16</v>
      </c>
      <c r="D13" s="128" t="s">
        <v>4</v>
      </c>
      <c r="E13" s="129">
        <v>1800</v>
      </c>
    </row>
    <row r="14" spans="1:12" ht="15.75" thickBot="1" x14ac:dyDescent="0.3">
      <c r="C14" s="197" t="s">
        <v>9</v>
      </c>
      <c r="D14" s="198"/>
      <c r="E14" s="130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5"/>
      <c r="E17">
        <v>1.05</v>
      </c>
    </row>
    <row r="18" spans="1:6" x14ac:dyDescent="0.25">
      <c r="A18" s="14"/>
      <c r="B18" s="14" t="s">
        <v>171</v>
      </c>
      <c r="C18" s="14" t="s">
        <v>25</v>
      </c>
      <c r="D18" s="14" t="s">
        <v>172</v>
      </c>
      <c r="E18" s="14" t="s">
        <v>26</v>
      </c>
      <c r="F18" s="14" t="s">
        <v>28</v>
      </c>
    </row>
    <row r="19" spans="1:6" x14ac:dyDescent="0.25">
      <c r="A19" s="191" t="s">
        <v>31</v>
      </c>
      <c r="B19" s="112">
        <v>1</v>
      </c>
      <c r="C19" s="113">
        <f>$E$14</f>
        <v>159000</v>
      </c>
      <c r="D19" s="113">
        <v>8300</v>
      </c>
      <c r="E19" s="113">
        <f>SUM(C19:D19)</f>
        <v>167300</v>
      </c>
      <c r="F19" s="114">
        <f t="shared" ref="F19:F38" si="0">B19*$H$8</f>
        <v>12000</v>
      </c>
    </row>
    <row r="20" spans="1:6" x14ac:dyDescent="0.25">
      <c r="A20" s="192"/>
      <c r="B20" s="112">
        <v>2</v>
      </c>
      <c r="C20" s="113">
        <f t="shared" ref="C20:C38" si="1">$E$14</f>
        <v>159000</v>
      </c>
      <c r="D20" s="113">
        <f t="shared" ref="D20:D30" si="2">D19*$E$17</f>
        <v>8715</v>
      </c>
      <c r="E20" s="113">
        <f t="shared" ref="E20:E30" si="3">SUM(C20:D20)</f>
        <v>167715</v>
      </c>
      <c r="F20" s="114">
        <f t="shared" si="0"/>
        <v>24000</v>
      </c>
    </row>
    <row r="21" spans="1:6" x14ac:dyDescent="0.25">
      <c r="A21" s="192"/>
      <c r="B21" s="112">
        <v>3</v>
      </c>
      <c r="C21" s="113">
        <f t="shared" si="1"/>
        <v>159000</v>
      </c>
      <c r="D21" s="113">
        <f t="shared" si="2"/>
        <v>9150.75</v>
      </c>
      <c r="E21" s="113">
        <f t="shared" si="3"/>
        <v>168150.75</v>
      </c>
      <c r="F21" s="114">
        <f t="shared" si="0"/>
        <v>36000</v>
      </c>
    </row>
    <row r="22" spans="1:6" x14ac:dyDescent="0.25">
      <c r="A22" s="192"/>
      <c r="B22" s="112">
        <v>4</v>
      </c>
      <c r="C22" s="113">
        <f t="shared" si="1"/>
        <v>159000</v>
      </c>
      <c r="D22" s="113">
        <f t="shared" si="2"/>
        <v>9608.2875000000004</v>
      </c>
      <c r="E22" s="113">
        <f t="shared" si="3"/>
        <v>168608.28750000001</v>
      </c>
      <c r="F22" s="114">
        <f t="shared" si="0"/>
        <v>48000</v>
      </c>
    </row>
    <row r="23" spans="1:6" x14ac:dyDescent="0.25">
      <c r="A23" s="192"/>
      <c r="B23" s="112">
        <v>5</v>
      </c>
      <c r="C23" s="113">
        <f t="shared" si="1"/>
        <v>159000</v>
      </c>
      <c r="D23" s="113">
        <f t="shared" si="2"/>
        <v>10088.701875000001</v>
      </c>
      <c r="E23" s="113">
        <f t="shared" si="3"/>
        <v>169088.701875</v>
      </c>
      <c r="F23" s="114">
        <f t="shared" si="0"/>
        <v>60000</v>
      </c>
    </row>
    <row r="24" spans="1:6" x14ac:dyDescent="0.25">
      <c r="A24" s="192"/>
      <c r="B24" s="112">
        <v>6</v>
      </c>
      <c r="C24" s="113">
        <f t="shared" si="1"/>
        <v>159000</v>
      </c>
      <c r="D24" s="113">
        <f t="shared" si="2"/>
        <v>10593.136968750001</v>
      </c>
      <c r="E24" s="113">
        <f t="shared" si="3"/>
        <v>169593.13696875001</v>
      </c>
      <c r="F24" s="114">
        <f t="shared" si="0"/>
        <v>72000</v>
      </c>
    </row>
    <row r="25" spans="1:6" x14ac:dyDescent="0.25">
      <c r="A25" s="192"/>
      <c r="B25" s="112">
        <v>7</v>
      </c>
      <c r="C25" s="113">
        <f t="shared" si="1"/>
        <v>159000</v>
      </c>
      <c r="D25" s="113">
        <f t="shared" si="2"/>
        <v>11122.793817187501</v>
      </c>
      <c r="E25" s="113">
        <f t="shared" si="3"/>
        <v>170122.79381718751</v>
      </c>
      <c r="F25" s="114">
        <f t="shared" si="0"/>
        <v>84000</v>
      </c>
    </row>
    <row r="26" spans="1:6" x14ac:dyDescent="0.25">
      <c r="A26" s="192"/>
      <c r="B26" s="112">
        <v>8</v>
      </c>
      <c r="C26" s="113">
        <f t="shared" si="1"/>
        <v>159000</v>
      </c>
      <c r="D26" s="113">
        <f t="shared" si="2"/>
        <v>11678.933508046877</v>
      </c>
      <c r="E26" s="113">
        <f t="shared" si="3"/>
        <v>170678.93350804687</v>
      </c>
      <c r="F26" s="114">
        <f t="shared" si="0"/>
        <v>96000</v>
      </c>
    </row>
    <row r="27" spans="1:6" x14ac:dyDescent="0.25">
      <c r="A27" s="192"/>
      <c r="B27" s="112">
        <v>9</v>
      </c>
      <c r="C27" s="113">
        <f t="shared" si="1"/>
        <v>159000</v>
      </c>
      <c r="D27" s="113">
        <f t="shared" si="2"/>
        <v>12262.880183449222</v>
      </c>
      <c r="E27" s="113">
        <f t="shared" si="3"/>
        <v>171262.88018344922</v>
      </c>
      <c r="F27" s="114">
        <f t="shared" si="0"/>
        <v>108000</v>
      </c>
    </row>
    <row r="28" spans="1:6" x14ac:dyDescent="0.25">
      <c r="A28" s="192"/>
      <c r="B28" s="112">
        <v>10</v>
      </c>
      <c r="C28" s="113">
        <f t="shared" si="1"/>
        <v>159000</v>
      </c>
      <c r="D28" s="113">
        <f t="shared" si="2"/>
        <v>12876.024192621684</v>
      </c>
      <c r="E28" s="113">
        <f t="shared" si="3"/>
        <v>171876.0241926217</v>
      </c>
      <c r="F28" s="114">
        <f t="shared" si="0"/>
        <v>120000</v>
      </c>
    </row>
    <row r="29" spans="1:6" x14ac:dyDescent="0.25">
      <c r="A29" s="192"/>
      <c r="B29" s="112">
        <v>11</v>
      </c>
      <c r="C29" s="113">
        <f t="shared" si="1"/>
        <v>159000</v>
      </c>
      <c r="D29" s="113">
        <f t="shared" si="2"/>
        <v>13519.825402252769</v>
      </c>
      <c r="E29" s="113">
        <f t="shared" si="3"/>
        <v>172519.82540225278</v>
      </c>
      <c r="F29" s="114">
        <f t="shared" si="0"/>
        <v>132000</v>
      </c>
    </row>
    <row r="30" spans="1:6" x14ac:dyDescent="0.25">
      <c r="A30" s="192"/>
      <c r="B30" s="115">
        <v>12</v>
      </c>
      <c r="C30" s="116">
        <f t="shared" si="1"/>
        <v>159000</v>
      </c>
      <c r="D30" s="116">
        <f t="shared" si="2"/>
        <v>14195.816672365409</v>
      </c>
      <c r="E30" s="116">
        <f t="shared" si="3"/>
        <v>173195.81667236541</v>
      </c>
      <c r="F30" s="117">
        <f t="shared" si="0"/>
        <v>144000</v>
      </c>
    </row>
    <row r="31" spans="1:6" ht="15" customHeight="1" x14ac:dyDescent="0.25">
      <c r="A31" s="192"/>
      <c r="B31" s="112">
        <v>13</v>
      </c>
      <c r="C31" s="113">
        <f t="shared" si="1"/>
        <v>159000</v>
      </c>
      <c r="D31" s="113">
        <f t="shared" ref="D31:D36" si="4">D30*$E$17</f>
        <v>14905.60750598368</v>
      </c>
      <c r="E31" s="113">
        <f t="shared" ref="E31:E36" si="5">SUM(C31:D31)</f>
        <v>173905.60750598367</v>
      </c>
      <c r="F31" s="114">
        <f t="shared" si="0"/>
        <v>156000</v>
      </c>
    </row>
    <row r="32" spans="1:6" x14ac:dyDescent="0.25">
      <c r="A32" s="193"/>
      <c r="B32" s="112">
        <v>14</v>
      </c>
      <c r="C32" s="113">
        <f t="shared" si="1"/>
        <v>159000</v>
      </c>
      <c r="D32" s="113">
        <f t="shared" si="4"/>
        <v>15650.887881282864</v>
      </c>
      <c r="E32" s="113">
        <f t="shared" si="5"/>
        <v>174650.88788128286</v>
      </c>
      <c r="F32" s="114">
        <f t="shared" si="0"/>
        <v>168000</v>
      </c>
    </row>
    <row r="33" spans="1:6" x14ac:dyDescent="0.25">
      <c r="A33" s="108" t="s">
        <v>29</v>
      </c>
      <c r="B33" s="108">
        <v>15</v>
      </c>
      <c r="C33" s="109">
        <f t="shared" si="1"/>
        <v>159000</v>
      </c>
      <c r="D33" s="109">
        <f t="shared" si="4"/>
        <v>16433.432275347008</v>
      </c>
      <c r="E33" s="109">
        <f t="shared" si="5"/>
        <v>175433.432275347</v>
      </c>
      <c r="F33" s="110">
        <f t="shared" si="0"/>
        <v>180000</v>
      </c>
    </row>
    <row r="34" spans="1:6" x14ac:dyDescent="0.25">
      <c r="A34" s="188" t="s">
        <v>30</v>
      </c>
      <c r="B34" s="118">
        <v>16</v>
      </c>
      <c r="C34" s="119">
        <f t="shared" si="1"/>
        <v>159000</v>
      </c>
      <c r="D34" s="119">
        <f t="shared" si="4"/>
        <v>17255.103889114358</v>
      </c>
      <c r="E34" s="119">
        <f t="shared" si="5"/>
        <v>176255.10388911437</v>
      </c>
      <c r="F34" s="120">
        <f t="shared" si="0"/>
        <v>192000</v>
      </c>
    </row>
    <row r="35" spans="1:6" x14ac:dyDescent="0.25">
      <c r="A35" s="189"/>
      <c r="B35" s="118">
        <v>17</v>
      </c>
      <c r="C35" s="119">
        <f t="shared" si="1"/>
        <v>159000</v>
      </c>
      <c r="D35" s="119">
        <f t="shared" si="4"/>
        <v>18117.859083570078</v>
      </c>
      <c r="E35" s="119">
        <f t="shared" si="5"/>
        <v>177117.85908357007</v>
      </c>
      <c r="F35" s="120">
        <f t="shared" si="0"/>
        <v>204000</v>
      </c>
    </row>
    <row r="36" spans="1:6" x14ac:dyDescent="0.25">
      <c r="A36" s="189"/>
      <c r="B36" s="118">
        <v>18</v>
      </c>
      <c r="C36" s="119">
        <f t="shared" si="1"/>
        <v>159000</v>
      </c>
      <c r="D36" s="119">
        <f t="shared" si="4"/>
        <v>19023.752037748582</v>
      </c>
      <c r="E36" s="119">
        <f t="shared" si="5"/>
        <v>178023.75203774858</v>
      </c>
      <c r="F36" s="120">
        <f t="shared" si="0"/>
        <v>216000</v>
      </c>
    </row>
    <row r="37" spans="1:6" x14ac:dyDescent="0.25">
      <c r="A37" s="189"/>
      <c r="B37" s="118">
        <v>19</v>
      </c>
      <c r="C37" s="119">
        <f t="shared" si="1"/>
        <v>159000</v>
      </c>
      <c r="D37" s="119">
        <f t="shared" ref="D37:D38" si="6">D36*$E$17</f>
        <v>19974.93963963601</v>
      </c>
      <c r="E37" s="119">
        <f t="shared" ref="E37:E38" si="7">SUM(C37:D37)</f>
        <v>178974.93963963602</v>
      </c>
      <c r="F37" s="120">
        <f t="shared" si="0"/>
        <v>228000</v>
      </c>
    </row>
    <row r="38" spans="1:6" x14ac:dyDescent="0.25">
      <c r="A38" s="190"/>
      <c r="B38" s="118">
        <v>20</v>
      </c>
      <c r="C38" s="119">
        <f t="shared" si="1"/>
        <v>159000</v>
      </c>
      <c r="D38" s="119">
        <f t="shared" si="6"/>
        <v>20973.68662161781</v>
      </c>
      <c r="E38" s="119">
        <f t="shared" si="7"/>
        <v>179973.68662161782</v>
      </c>
      <c r="F38" s="120">
        <f t="shared" si="0"/>
        <v>240000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Normal="100" workbookViewId="0">
      <selection activeCell="G8" sqref="G8:J10"/>
    </sheetView>
  </sheetViews>
  <sheetFormatPr defaultColWidth="11.42578125" defaultRowHeight="12.75" x14ac:dyDescent="0.2"/>
  <cols>
    <col min="1" max="1" width="27" style="26" bestFit="1" customWidth="1"/>
    <col min="2" max="2" width="17.140625" style="26" bestFit="1" customWidth="1"/>
    <col min="3" max="5" width="16.85546875" style="26" bestFit="1" customWidth="1"/>
    <col min="6" max="6" width="15.140625" style="26" bestFit="1" customWidth="1"/>
    <col min="7" max="7" width="17.42578125" style="26" bestFit="1" customWidth="1"/>
    <col min="8" max="9" width="12.7109375" style="26" bestFit="1" customWidth="1"/>
    <col min="10" max="10" width="13.5703125" style="26" bestFit="1" customWidth="1"/>
    <col min="11" max="256" width="9.140625" style="26" customWidth="1"/>
    <col min="257" max="16384" width="11.42578125" style="26"/>
  </cols>
  <sheetData>
    <row r="1" spans="1:10" x14ac:dyDescent="0.2">
      <c r="A1" s="49" t="s">
        <v>96</v>
      </c>
      <c r="B1" s="49"/>
      <c r="C1" s="49"/>
      <c r="D1" s="49"/>
    </row>
    <row r="2" spans="1:10" s="43" customFormat="1" ht="15.75" x14ac:dyDescent="0.25">
      <c r="A2" s="50"/>
      <c r="B2" s="51"/>
      <c r="C2" s="52" t="s">
        <v>105</v>
      </c>
      <c r="D2" s="52" t="s">
        <v>105</v>
      </c>
      <c r="E2" s="52" t="s">
        <v>105</v>
      </c>
      <c r="G2" s="151"/>
      <c r="H2" s="152" t="s">
        <v>105</v>
      </c>
      <c r="I2" s="152" t="s">
        <v>105</v>
      </c>
      <c r="J2" s="152" t="s">
        <v>105</v>
      </c>
    </row>
    <row r="3" spans="1:10" s="43" customFormat="1" ht="15.75" x14ac:dyDescent="0.25">
      <c r="A3" s="161"/>
      <c r="B3" s="150" t="s">
        <v>95</v>
      </c>
      <c r="C3" s="150" t="s">
        <v>94</v>
      </c>
      <c r="D3" s="150" t="s">
        <v>93</v>
      </c>
      <c r="E3" s="150" t="s">
        <v>92</v>
      </c>
      <c r="G3" s="151"/>
      <c r="H3" s="153" t="s">
        <v>94</v>
      </c>
      <c r="I3" s="153" t="s">
        <v>93</v>
      </c>
      <c r="J3" s="153" t="s">
        <v>92</v>
      </c>
    </row>
    <row r="4" spans="1:10" x14ac:dyDescent="0.2">
      <c r="A4" s="53" t="s">
        <v>91</v>
      </c>
      <c r="B4" s="53"/>
      <c r="C4" s="53"/>
      <c r="D4" s="53"/>
      <c r="E4" s="53"/>
      <c r="G4" s="154" t="s">
        <v>168</v>
      </c>
      <c r="H4" s="155">
        <f>C15*-1</f>
        <v>122072.3875</v>
      </c>
      <c r="I4" s="155">
        <f t="shared" ref="I4:J4" si="0">D15*-1</f>
        <v>367534.81174242415</v>
      </c>
      <c r="J4" s="155">
        <f t="shared" si="0"/>
        <v>482624.56931818178</v>
      </c>
    </row>
    <row r="5" spans="1:10" x14ac:dyDescent="0.2">
      <c r="A5" s="54" t="s">
        <v>90</v>
      </c>
      <c r="B5" s="55">
        <v>0</v>
      </c>
      <c r="C5" s="56">
        <f>Mensual!D11</f>
        <v>2376000</v>
      </c>
      <c r="D5" s="56">
        <f>Mensual!F11</f>
        <v>3480000</v>
      </c>
      <c r="E5" s="56">
        <f>Mensual!H11</f>
        <v>4716000</v>
      </c>
    </row>
    <row r="6" spans="1:10" x14ac:dyDescent="0.2">
      <c r="A6" s="53"/>
      <c r="B6" s="57">
        <f>SUM(B5:B5)</f>
        <v>0</v>
      </c>
      <c r="C6" s="57">
        <f>Mensual!D11</f>
        <v>2376000</v>
      </c>
      <c r="D6" s="57">
        <f>Mensual!F11</f>
        <v>3480000</v>
      </c>
      <c r="E6" s="57">
        <f>Mensual!H11</f>
        <v>4716000</v>
      </c>
      <c r="H6" s="53"/>
    </row>
    <row r="7" spans="1:10" x14ac:dyDescent="0.2">
      <c r="A7" s="53" t="s">
        <v>89</v>
      </c>
      <c r="B7" s="58"/>
      <c r="C7" s="59"/>
      <c r="D7" s="59"/>
      <c r="E7" s="59"/>
    </row>
    <row r="8" spans="1:10" ht="15.75" x14ac:dyDescent="0.25">
      <c r="A8" s="54" t="s">
        <v>22</v>
      </c>
      <c r="B8" s="55">
        <v>0</v>
      </c>
      <c r="C8" s="60">
        <f>-Costos!G8</f>
        <v>-99600</v>
      </c>
      <c r="D8" s="60">
        <f>-Costos!G20</f>
        <v>-145878.7878787879</v>
      </c>
      <c r="E8" s="60">
        <f>-Costos!G32</f>
        <v>-197690.90909090909</v>
      </c>
      <c r="G8" s="151"/>
      <c r="H8" s="156" t="s">
        <v>105</v>
      </c>
      <c r="I8" s="156" t="s">
        <v>105</v>
      </c>
      <c r="J8" s="156" t="s">
        <v>105</v>
      </c>
    </row>
    <row r="9" spans="1:10" ht="15.75" x14ac:dyDescent="0.25">
      <c r="A9" s="54" t="s">
        <v>0</v>
      </c>
      <c r="B9" s="55">
        <v>0</v>
      </c>
      <c r="C9" s="61">
        <f>-Costos!C11</f>
        <v>-1782000</v>
      </c>
      <c r="D9" s="60">
        <f>C9*1.2</f>
        <v>-2138400</v>
      </c>
      <c r="E9" s="60">
        <f>D9*1.4</f>
        <v>-2993760</v>
      </c>
      <c r="G9" s="151"/>
      <c r="H9" s="153" t="s">
        <v>94</v>
      </c>
      <c r="I9" s="153" t="s">
        <v>93</v>
      </c>
      <c r="J9" s="153" t="s">
        <v>92</v>
      </c>
    </row>
    <row r="10" spans="1:10" x14ac:dyDescent="0.2">
      <c r="A10" s="54" t="s">
        <v>85</v>
      </c>
      <c r="B10" s="55"/>
      <c r="C10" s="61">
        <f>-Inversion!H19</f>
        <v>-145621.75</v>
      </c>
      <c r="D10" s="60">
        <f>-Inversion!I19</f>
        <v>-145621.75</v>
      </c>
      <c r="E10" s="60">
        <f>-Inversion!J19</f>
        <v>-145621.75</v>
      </c>
      <c r="G10" s="154" t="s">
        <v>169</v>
      </c>
      <c r="H10" s="155">
        <f>C5*0.03</f>
        <v>71280</v>
      </c>
      <c r="I10" s="155">
        <f t="shared" ref="I10:J10" si="1">D5*0.03</f>
        <v>104400</v>
      </c>
      <c r="J10" s="155">
        <f t="shared" si="1"/>
        <v>141480</v>
      </c>
    </row>
    <row r="11" spans="1:10" x14ac:dyDescent="0.2">
      <c r="A11" s="53"/>
      <c r="B11" s="62">
        <f>SUM(B8:B10)</f>
        <v>0</v>
      </c>
      <c r="C11" s="62">
        <f>SUM(C8:C10)</f>
        <v>-2027221.75</v>
      </c>
      <c r="D11" s="62">
        <f>SUM(D8:D10)</f>
        <v>-2429900.5378787881</v>
      </c>
      <c r="E11" s="62">
        <f>SUM(E8:E10)</f>
        <v>-3337072.6590909092</v>
      </c>
    </row>
    <row r="12" spans="1:10" x14ac:dyDescent="0.2">
      <c r="A12" s="53"/>
      <c r="B12" s="53"/>
      <c r="C12" s="63"/>
      <c r="D12" s="63"/>
      <c r="E12" s="63"/>
    </row>
    <row r="13" spans="1:10" ht="13.5" thickBot="1" x14ac:dyDescent="0.25">
      <c r="A13" s="53" t="s">
        <v>88</v>
      </c>
      <c r="B13" s="64">
        <f>+B6+B11</f>
        <v>0</v>
      </c>
      <c r="C13" s="64">
        <f>+C6+C11</f>
        <v>348778.25</v>
      </c>
      <c r="D13" s="64">
        <f>+D6+D11</f>
        <v>1050099.4621212119</v>
      </c>
      <c r="E13" s="64">
        <f>+E6+E11</f>
        <v>1378927.3409090908</v>
      </c>
    </row>
    <row r="14" spans="1:10" ht="13.5" thickTop="1" x14ac:dyDescent="0.2">
      <c r="A14" s="53"/>
      <c r="B14" s="53"/>
      <c r="C14" s="65"/>
      <c r="D14" s="65"/>
      <c r="E14" s="65"/>
    </row>
    <row r="15" spans="1:10" x14ac:dyDescent="0.2">
      <c r="A15" s="53" t="s">
        <v>87</v>
      </c>
      <c r="B15" s="53"/>
      <c r="C15" s="65">
        <f>-C13*0.35</f>
        <v>-122072.3875</v>
      </c>
      <c r="D15" s="65">
        <f>-D13*0.35</f>
        <v>-367534.81174242415</v>
      </c>
      <c r="E15" s="65">
        <f>-E13*0.35</f>
        <v>-482624.56931818178</v>
      </c>
    </row>
    <row r="16" spans="1:10" x14ac:dyDescent="0.2">
      <c r="A16" s="53"/>
      <c r="B16" s="53"/>
      <c r="C16" s="65"/>
      <c r="D16" s="65"/>
      <c r="E16" s="65"/>
    </row>
    <row r="17" spans="1:7" ht="13.5" thickBot="1" x14ac:dyDescent="0.25">
      <c r="A17" s="53" t="s">
        <v>86</v>
      </c>
      <c r="B17" s="53"/>
      <c r="C17" s="66">
        <f>C15+C13</f>
        <v>226705.86249999999</v>
      </c>
      <c r="D17" s="66">
        <f>D15+D13</f>
        <v>682564.65037878777</v>
      </c>
      <c r="E17" s="66">
        <f>E15+E13</f>
        <v>896302.77159090899</v>
      </c>
    </row>
    <row r="18" spans="1:7" ht="13.5" thickTop="1" x14ac:dyDescent="0.2">
      <c r="A18" s="53"/>
      <c r="B18" s="53"/>
      <c r="C18" s="67"/>
      <c r="D18" s="67"/>
      <c r="E18" s="67"/>
    </row>
    <row r="19" spans="1:7" x14ac:dyDescent="0.2">
      <c r="A19" s="53" t="s">
        <v>85</v>
      </c>
      <c r="B19" s="53"/>
      <c r="C19" s="65">
        <f>-C10</f>
        <v>145621.75</v>
      </c>
      <c r="D19" s="65">
        <f t="shared" ref="D19:E19" si="2">-D10</f>
        <v>145621.75</v>
      </c>
      <c r="E19" s="65">
        <f t="shared" si="2"/>
        <v>145621.75</v>
      </c>
    </row>
    <row r="20" spans="1:7" ht="13.5" thickBot="1" x14ac:dyDescent="0.25">
      <c r="A20" s="53" t="s">
        <v>84</v>
      </c>
      <c r="B20" s="68">
        <f>-Inversion!D19</f>
        <v>-578134</v>
      </c>
      <c r="C20" s="66">
        <f>SUM(C17:C19)</f>
        <v>372327.61249999999</v>
      </c>
      <c r="D20" s="66">
        <f>SUM(D17:D19)</f>
        <v>828186.40037878777</v>
      </c>
      <c r="E20" s="66">
        <f>SUM(E17:E19)</f>
        <v>1041924.521590909</v>
      </c>
    </row>
    <row r="21" spans="1:7" ht="14.25" thickTop="1" thickBot="1" x14ac:dyDescent="0.25">
      <c r="A21" s="53"/>
      <c r="B21" s="67"/>
      <c r="C21" s="67"/>
      <c r="D21" s="67"/>
      <c r="E21" s="67"/>
    </row>
    <row r="22" spans="1:7" ht="15.75" x14ac:dyDescent="0.25">
      <c r="A22" s="162" t="s">
        <v>83</v>
      </c>
      <c r="B22" s="165">
        <v>0.1885</v>
      </c>
      <c r="C22" s="65"/>
      <c r="D22" s="65"/>
      <c r="E22" s="65"/>
    </row>
    <row r="23" spans="1:7" ht="15.75" x14ac:dyDescent="0.25">
      <c r="A23" s="163" t="s">
        <v>82</v>
      </c>
      <c r="B23" s="168">
        <f>NPV(B22,C20,D20,E20)+B20</f>
        <v>942092.98333529918</v>
      </c>
    </row>
    <row r="24" spans="1:7" ht="16.5" thickBot="1" x14ac:dyDescent="0.3">
      <c r="A24" s="164" t="s">
        <v>81</v>
      </c>
      <c r="B24" s="167">
        <f>IRR(B20:E20,30)</f>
        <v>0.89854512313239021</v>
      </c>
      <c r="G24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E35" sqref="E35"/>
    </sheetView>
  </sheetViews>
  <sheetFormatPr defaultColWidth="11.42578125" defaultRowHeight="15" x14ac:dyDescent="0.25"/>
  <cols>
    <col min="1" max="1" width="23.85546875" bestFit="1" customWidth="1"/>
    <col min="2" max="2" width="11.42578125" style="33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6" bestFit="1" customWidth="1"/>
    <col min="8" max="10" width="12.5703125" style="36" bestFit="1" customWidth="1"/>
  </cols>
  <sheetData>
    <row r="1" spans="1:10" x14ac:dyDescent="0.25">
      <c r="A1" s="146" t="s">
        <v>139</v>
      </c>
      <c r="F1" s="146" t="s">
        <v>140</v>
      </c>
    </row>
    <row r="4" spans="1:10" x14ac:dyDescent="0.25">
      <c r="A4" s="145" t="s">
        <v>106</v>
      </c>
      <c r="B4" s="145" t="s">
        <v>80</v>
      </c>
      <c r="C4" s="145" t="s">
        <v>113</v>
      </c>
      <c r="D4" s="145" t="s">
        <v>9</v>
      </c>
      <c r="F4" s="145" t="s">
        <v>106</v>
      </c>
      <c r="G4" s="146" t="s">
        <v>140</v>
      </c>
      <c r="H4" s="200" t="s">
        <v>105</v>
      </c>
      <c r="I4" s="201"/>
      <c r="J4" s="202"/>
    </row>
    <row r="5" spans="1:10" x14ac:dyDescent="0.25">
      <c r="A5" s="145" t="s">
        <v>141</v>
      </c>
      <c r="B5" s="203"/>
      <c r="C5" s="204"/>
      <c r="D5" s="205"/>
      <c r="F5" s="145" t="s">
        <v>141</v>
      </c>
      <c r="G5" s="146" t="s">
        <v>147</v>
      </c>
      <c r="H5" s="37">
        <v>1</v>
      </c>
      <c r="I5" s="37">
        <v>2</v>
      </c>
      <c r="J5" s="37">
        <v>3</v>
      </c>
    </row>
    <row r="6" spans="1:10" x14ac:dyDescent="0.25">
      <c r="A6" s="14" t="s">
        <v>107</v>
      </c>
      <c r="B6" s="5">
        <v>3</v>
      </c>
      <c r="C6" s="32">
        <v>12000</v>
      </c>
      <c r="D6" s="34">
        <f>C6*B6</f>
        <v>36000</v>
      </c>
      <c r="F6" s="14" t="s">
        <v>107</v>
      </c>
      <c r="G6" s="37">
        <v>10</v>
      </c>
      <c r="H6" s="38">
        <f>D6/$G6</f>
        <v>3600</v>
      </c>
      <c r="I6" s="38">
        <f>D6/$G6</f>
        <v>3600</v>
      </c>
      <c r="J6" s="38">
        <f>D6/$G6</f>
        <v>3600</v>
      </c>
    </row>
    <row r="7" spans="1:10" x14ac:dyDescent="0.25">
      <c r="A7" s="14" t="s">
        <v>108</v>
      </c>
      <c r="B7" s="5">
        <v>10</v>
      </c>
      <c r="C7" s="32">
        <v>3000</v>
      </c>
      <c r="D7" s="34">
        <f t="shared" ref="D7:D18" si="0">C7*B7</f>
        <v>30000</v>
      </c>
      <c r="F7" s="14" t="s">
        <v>108</v>
      </c>
      <c r="G7" s="37">
        <v>10</v>
      </c>
      <c r="H7" s="38">
        <f>D7/$G7</f>
        <v>3000</v>
      </c>
      <c r="I7" s="38">
        <f>D7/$G7</f>
        <v>3000</v>
      </c>
      <c r="J7" s="38">
        <f>D7/$G7</f>
        <v>3000</v>
      </c>
    </row>
    <row r="8" spans="1:10" x14ac:dyDescent="0.25">
      <c r="A8" s="14" t="s">
        <v>114</v>
      </c>
      <c r="B8" s="5">
        <v>2</v>
      </c>
      <c r="C8" s="32">
        <v>8000</v>
      </c>
      <c r="D8" s="34">
        <f t="shared" si="0"/>
        <v>16000</v>
      </c>
      <c r="F8" s="14" t="s">
        <v>114</v>
      </c>
      <c r="G8" s="37">
        <v>10</v>
      </c>
      <c r="H8" s="38">
        <f>D8/$G8</f>
        <v>1600</v>
      </c>
      <c r="I8" s="38">
        <f>D8/$G8</f>
        <v>1600</v>
      </c>
      <c r="J8" s="38">
        <f>D8/$G8</f>
        <v>1600</v>
      </c>
    </row>
    <row r="9" spans="1:10" x14ac:dyDescent="0.25">
      <c r="A9" s="14" t="s">
        <v>110</v>
      </c>
      <c r="B9" s="5">
        <v>3</v>
      </c>
      <c r="C9" s="32">
        <v>15000</v>
      </c>
      <c r="D9" s="34">
        <f t="shared" ref="D9" si="1">C9*B9</f>
        <v>45000</v>
      </c>
      <c r="F9" s="14" t="s">
        <v>110</v>
      </c>
      <c r="G9" s="37">
        <v>10</v>
      </c>
      <c r="H9" s="38">
        <f>D9/$G9</f>
        <v>4500</v>
      </c>
      <c r="I9" s="38">
        <f>D9/$G9</f>
        <v>4500</v>
      </c>
      <c r="J9" s="38">
        <f>D9/$G9</f>
        <v>4500</v>
      </c>
    </row>
    <row r="10" spans="1:10" x14ac:dyDescent="0.25">
      <c r="A10" s="147" t="s">
        <v>142</v>
      </c>
      <c r="B10" s="206"/>
      <c r="C10" s="207"/>
      <c r="D10" s="208"/>
      <c r="F10" s="147" t="s">
        <v>142</v>
      </c>
      <c r="G10" s="146" t="s">
        <v>147</v>
      </c>
      <c r="H10" s="209"/>
      <c r="I10" s="210"/>
      <c r="J10" s="211"/>
    </row>
    <row r="11" spans="1:10" x14ac:dyDescent="0.25">
      <c r="A11" s="14" t="s">
        <v>111</v>
      </c>
      <c r="B11" s="5">
        <v>5</v>
      </c>
      <c r="C11" s="32">
        <v>30000</v>
      </c>
      <c r="D11" s="34">
        <f t="shared" si="0"/>
        <v>150000</v>
      </c>
      <c r="F11" s="14" t="s">
        <v>111</v>
      </c>
      <c r="G11" s="37">
        <v>3</v>
      </c>
      <c r="H11" s="38">
        <f>D11/$G11</f>
        <v>50000</v>
      </c>
      <c r="I11" s="38">
        <f>D11/$G11</f>
        <v>50000</v>
      </c>
      <c r="J11" s="38">
        <f>D11/$G11</f>
        <v>50000</v>
      </c>
    </row>
    <row r="12" spans="1:10" x14ac:dyDescent="0.25">
      <c r="A12" s="14" t="s">
        <v>109</v>
      </c>
      <c r="B12" s="5">
        <v>1</v>
      </c>
      <c r="C12" s="32">
        <v>5000</v>
      </c>
      <c r="D12" s="34">
        <f t="shared" si="0"/>
        <v>5000</v>
      </c>
      <c r="F12" s="14" t="s">
        <v>109</v>
      </c>
      <c r="G12" s="37">
        <v>3</v>
      </c>
      <c r="H12" s="38">
        <f>D12/$G12</f>
        <v>1666.6666666666667</v>
      </c>
      <c r="I12" s="38">
        <f>D12/$G12</f>
        <v>1666.6666666666667</v>
      </c>
      <c r="J12" s="38">
        <f>D12/$G12</f>
        <v>1666.6666666666667</v>
      </c>
    </row>
    <row r="13" spans="1:10" x14ac:dyDescent="0.25">
      <c r="A13" s="147" t="s">
        <v>112</v>
      </c>
      <c r="B13" s="206"/>
      <c r="C13" s="207"/>
      <c r="D13" s="208"/>
      <c r="F13" s="147" t="s">
        <v>112</v>
      </c>
      <c r="G13" s="146" t="s">
        <v>147</v>
      </c>
      <c r="H13" s="209"/>
      <c r="I13" s="210"/>
      <c r="J13" s="211"/>
    </row>
    <row r="14" spans="1:10" x14ac:dyDescent="0.25">
      <c r="A14" s="14" t="s">
        <v>115</v>
      </c>
      <c r="B14" s="5">
        <v>2</v>
      </c>
      <c r="C14" s="32">
        <v>15880</v>
      </c>
      <c r="D14" s="34">
        <f t="shared" si="0"/>
        <v>31760</v>
      </c>
      <c r="F14" s="14" t="s">
        <v>115</v>
      </c>
      <c r="G14" s="37">
        <v>3</v>
      </c>
      <c r="H14" s="38">
        <f>D14/$G14</f>
        <v>10586.666666666666</v>
      </c>
      <c r="I14" s="38">
        <f>D14/$G14</f>
        <v>10586.666666666666</v>
      </c>
      <c r="J14" s="38">
        <f>D14/$G14</f>
        <v>10586.666666666666</v>
      </c>
    </row>
    <row r="15" spans="1:10" x14ac:dyDescent="0.25">
      <c r="A15" s="14" t="s">
        <v>116</v>
      </c>
      <c r="B15" s="5">
        <v>2</v>
      </c>
      <c r="C15" s="32">
        <v>20283</v>
      </c>
      <c r="D15" s="34">
        <f t="shared" si="0"/>
        <v>40566</v>
      </c>
      <c r="F15" s="14" t="s">
        <v>116</v>
      </c>
      <c r="G15" s="37">
        <v>3</v>
      </c>
      <c r="H15" s="38">
        <f>D15/$G15</f>
        <v>13522</v>
      </c>
      <c r="I15" s="38">
        <f>D15/$G15</f>
        <v>13522</v>
      </c>
      <c r="J15" s="38">
        <f>D15/$G15</f>
        <v>13522</v>
      </c>
    </row>
    <row r="16" spans="1:10" x14ac:dyDescent="0.25">
      <c r="A16" s="14" t="s">
        <v>117</v>
      </c>
      <c r="B16" s="5">
        <v>1</v>
      </c>
      <c r="C16" s="32">
        <v>14333</v>
      </c>
      <c r="D16" s="34">
        <f t="shared" si="0"/>
        <v>14333</v>
      </c>
      <c r="F16" s="14" t="s">
        <v>117</v>
      </c>
      <c r="G16" s="37">
        <v>3</v>
      </c>
      <c r="H16" s="38">
        <f>D16/$G16</f>
        <v>4777.666666666667</v>
      </c>
      <c r="I16" s="38">
        <f>D16/$G16</f>
        <v>4777.666666666667</v>
      </c>
      <c r="J16" s="38">
        <f>D16/$G16</f>
        <v>4777.666666666667</v>
      </c>
    </row>
    <row r="17" spans="1:10" x14ac:dyDescent="0.25">
      <c r="A17" s="147" t="s">
        <v>143</v>
      </c>
      <c r="B17" s="206"/>
      <c r="C17" s="207"/>
      <c r="D17" s="208"/>
      <c r="F17" s="147" t="s">
        <v>143</v>
      </c>
      <c r="G17" s="146" t="s">
        <v>147</v>
      </c>
      <c r="H17" s="209"/>
      <c r="I17" s="210"/>
      <c r="J17" s="211"/>
    </row>
    <row r="18" spans="1:10" x14ac:dyDescent="0.25">
      <c r="A18" s="14" t="s">
        <v>129</v>
      </c>
      <c r="B18" s="5">
        <v>1</v>
      </c>
      <c r="C18" s="32">
        <f>'Costo de Desarrollo'!F15</f>
        <v>209475</v>
      </c>
      <c r="D18" s="34">
        <f t="shared" si="0"/>
        <v>209475</v>
      </c>
      <c r="F18" s="14" t="s">
        <v>118</v>
      </c>
      <c r="G18" s="37">
        <v>4</v>
      </c>
      <c r="H18" s="38">
        <f>D18/$G18</f>
        <v>52368.75</v>
      </c>
      <c r="I18" s="38">
        <f>D18/$G18</f>
        <v>52368.75</v>
      </c>
      <c r="J18" s="38">
        <f>D18/$G18</f>
        <v>52368.75</v>
      </c>
    </row>
    <row r="19" spans="1:10" ht="21" x14ac:dyDescent="0.35">
      <c r="A19" s="199" t="s">
        <v>139</v>
      </c>
      <c r="B19" s="199"/>
      <c r="C19" s="199"/>
      <c r="D19" s="41">
        <f>SUM(D6:D18)</f>
        <v>578134</v>
      </c>
      <c r="G19" s="39" t="s">
        <v>9</v>
      </c>
      <c r="H19" s="40">
        <f>SUM(H6:H18)</f>
        <v>145621.75</v>
      </c>
      <c r="I19" s="40">
        <f t="shared" ref="I19:J19" si="2">SUM(I6:I18)</f>
        <v>145621.75</v>
      </c>
      <c r="J19" s="40">
        <f t="shared" si="2"/>
        <v>145621.75</v>
      </c>
    </row>
    <row r="22" spans="1:10" x14ac:dyDescent="0.25">
      <c r="A22" t="s">
        <v>207</v>
      </c>
    </row>
    <row r="23" spans="1:10" x14ac:dyDescent="0.25">
      <c r="A23" s="166" t="s">
        <v>106</v>
      </c>
    </row>
    <row r="24" spans="1:10" x14ac:dyDescent="0.25">
      <c r="A24" s="166" t="s">
        <v>141</v>
      </c>
      <c r="B24" s="178" t="s">
        <v>9</v>
      </c>
      <c r="C24" s="179" t="s">
        <v>208</v>
      </c>
      <c r="D24" s="179"/>
      <c r="E24" s="179" t="s">
        <v>209</v>
      </c>
      <c r="F24" s="179" t="s">
        <v>210</v>
      </c>
    </row>
    <row r="25" spans="1:10" x14ac:dyDescent="0.25">
      <c r="A25" s="14" t="s">
        <v>107</v>
      </c>
      <c r="B25" s="177">
        <f>D6</f>
        <v>36000</v>
      </c>
      <c r="C25">
        <v>10</v>
      </c>
      <c r="E25" s="28">
        <f>H6*3</f>
        <v>10800</v>
      </c>
      <c r="F25" s="28">
        <f>B25-E25</f>
        <v>25200</v>
      </c>
    </row>
    <row r="26" spans="1:10" x14ac:dyDescent="0.25">
      <c r="A26" s="14" t="s">
        <v>108</v>
      </c>
      <c r="B26" s="177">
        <f>D7</f>
        <v>30000</v>
      </c>
      <c r="C26">
        <v>10</v>
      </c>
      <c r="E26" s="28">
        <f>H7*3</f>
        <v>9000</v>
      </c>
      <c r="F26" s="28">
        <f t="shared" ref="F26:F31" si="3">B26-E26</f>
        <v>21000</v>
      </c>
    </row>
    <row r="27" spans="1:10" x14ac:dyDescent="0.25">
      <c r="A27" s="14" t="s">
        <v>114</v>
      </c>
      <c r="B27" s="177">
        <f>D8</f>
        <v>16000</v>
      </c>
      <c r="C27">
        <v>10</v>
      </c>
      <c r="E27" s="28">
        <f>H8*3</f>
        <v>4800</v>
      </c>
      <c r="F27" s="28">
        <f t="shared" si="3"/>
        <v>11200</v>
      </c>
    </row>
    <row r="28" spans="1:10" x14ac:dyDescent="0.25">
      <c r="A28" s="14" t="s">
        <v>110</v>
      </c>
      <c r="B28" s="177">
        <f>D9</f>
        <v>45000</v>
      </c>
      <c r="C28">
        <v>10</v>
      </c>
      <c r="E28" s="28">
        <f>H9*3</f>
        <v>13500</v>
      </c>
      <c r="F28" s="28">
        <f t="shared" si="3"/>
        <v>31500</v>
      </c>
    </row>
    <row r="29" spans="1:10" x14ac:dyDescent="0.25">
      <c r="A29" s="147" t="s">
        <v>142</v>
      </c>
      <c r="F29" s="28"/>
    </row>
    <row r="30" spans="1:10" x14ac:dyDescent="0.25">
      <c r="A30" s="14" t="s">
        <v>111</v>
      </c>
      <c r="B30" s="177">
        <f>D11</f>
        <v>150000</v>
      </c>
      <c r="C30">
        <v>3</v>
      </c>
      <c r="E30" s="28">
        <f>H11*3</f>
        <v>150000</v>
      </c>
      <c r="F30" s="28">
        <f t="shared" si="3"/>
        <v>0</v>
      </c>
    </row>
    <row r="31" spans="1:10" x14ac:dyDescent="0.25">
      <c r="A31" s="14" t="s">
        <v>109</v>
      </c>
      <c r="B31" s="177">
        <f>D12</f>
        <v>5000</v>
      </c>
      <c r="C31">
        <v>3</v>
      </c>
      <c r="E31" s="28">
        <f>H12*3</f>
        <v>5000</v>
      </c>
      <c r="F31" s="28">
        <f t="shared" si="3"/>
        <v>0</v>
      </c>
    </row>
    <row r="32" spans="1:10" x14ac:dyDescent="0.25">
      <c r="E32" s="179" t="s">
        <v>9</v>
      </c>
      <c r="F32" s="180">
        <f>SUM(F25:F31)</f>
        <v>88900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5" bestFit="1" customWidth="1"/>
  </cols>
  <sheetData>
    <row r="1" spans="1:9" ht="18.75" x14ac:dyDescent="0.3">
      <c r="A1" s="75" t="s">
        <v>179</v>
      </c>
    </row>
    <row r="3" spans="1:9" x14ac:dyDescent="0.25">
      <c r="A3" s="148" t="s">
        <v>124</v>
      </c>
      <c r="B3" s="147" t="s">
        <v>131</v>
      </c>
      <c r="C3" s="147" t="s">
        <v>132</v>
      </c>
      <c r="D3" s="147" t="s">
        <v>133</v>
      </c>
      <c r="E3" s="118"/>
      <c r="F3" s="147" t="s">
        <v>136</v>
      </c>
      <c r="H3" s="25" t="s">
        <v>167</v>
      </c>
    </row>
    <row r="4" spans="1:9" x14ac:dyDescent="0.25">
      <c r="A4" s="35" t="s">
        <v>119</v>
      </c>
      <c r="B4" s="14">
        <v>20</v>
      </c>
      <c r="C4" s="14">
        <v>50</v>
      </c>
      <c r="D4" s="14">
        <v>285</v>
      </c>
      <c r="E4" s="14" t="s">
        <v>135</v>
      </c>
      <c r="F4" s="34">
        <f>D4*C4</f>
        <v>14250</v>
      </c>
      <c r="H4" s="147" t="s">
        <v>138</v>
      </c>
      <c r="I4" s="147" t="s">
        <v>137</v>
      </c>
    </row>
    <row r="5" spans="1:9" x14ac:dyDescent="0.25">
      <c r="A5" s="35" t="s">
        <v>120</v>
      </c>
      <c r="B5" s="14">
        <v>20</v>
      </c>
      <c r="C5" s="14">
        <v>50</v>
      </c>
      <c r="D5" s="14">
        <v>285</v>
      </c>
      <c r="E5" s="14" t="s">
        <v>135</v>
      </c>
      <c r="F5" s="34">
        <f t="shared" ref="F5:F14" si="0">D5*C5</f>
        <v>14250</v>
      </c>
      <c r="H5" s="147" t="s">
        <v>135</v>
      </c>
      <c r="I5" s="34">
        <v>285</v>
      </c>
    </row>
    <row r="6" spans="1:9" x14ac:dyDescent="0.25">
      <c r="A6" s="35" t="s">
        <v>121</v>
      </c>
      <c r="B6" s="14">
        <v>20</v>
      </c>
      <c r="C6" s="14">
        <v>50</v>
      </c>
      <c r="D6" s="14">
        <v>285</v>
      </c>
      <c r="E6" s="14" t="s">
        <v>135</v>
      </c>
      <c r="F6" s="34">
        <f t="shared" si="0"/>
        <v>14250</v>
      </c>
      <c r="H6" s="147" t="s">
        <v>130</v>
      </c>
      <c r="I6" s="34">
        <v>270</v>
      </c>
    </row>
    <row r="7" spans="1:9" x14ac:dyDescent="0.25">
      <c r="A7" s="35" t="s">
        <v>122</v>
      </c>
      <c r="B7" s="14">
        <v>15</v>
      </c>
      <c r="C7" s="14">
        <v>50</v>
      </c>
      <c r="D7" s="14">
        <v>285</v>
      </c>
      <c r="E7" s="14" t="s">
        <v>135</v>
      </c>
      <c r="F7" s="34">
        <f t="shared" si="0"/>
        <v>14250</v>
      </c>
      <c r="H7" s="147" t="s">
        <v>134</v>
      </c>
      <c r="I7" s="34">
        <v>300</v>
      </c>
    </row>
    <row r="8" spans="1:9" x14ac:dyDescent="0.25">
      <c r="A8" s="35" t="s">
        <v>123</v>
      </c>
      <c r="B8" s="14">
        <v>18</v>
      </c>
      <c r="C8" s="14">
        <v>35</v>
      </c>
      <c r="D8" s="14">
        <v>285</v>
      </c>
      <c r="E8" s="14" t="s">
        <v>135</v>
      </c>
      <c r="F8" s="34">
        <f t="shared" si="0"/>
        <v>9975</v>
      </c>
    </row>
    <row r="9" spans="1:9" x14ac:dyDescent="0.25">
      <c r="A9" s="148" t="s">
        <v>125</v>
      </c>
      <c r="B9" s="147" t="s">
        <v>131</v>
      </c>
      <c r="C9" s="147" t="s">
        <v>132</v>
      </c>
      <c r="D9" s="147" t="s">
        <v>133</v>
      </c>
      <c r="E9" s="118"/>
      <c r="F9" s="147" t="s">
        <v>136</v>
      </c>
    </row>
    <row r="10" spans="1:9" x14ac:dyDescent="0.25">
      <c r="A10" s="35" t="s">
        <v>126</v>
      </c>
      <c r="B10" s="14">
        <v>2</v>
      </c>
      <c r="C10" s="14">
        <v>18</v>
      </c>
      <c r="D10" s="14">
        <v>300</v>
      </c>
      <c r="E10" s="14" t="s">
        <v>134</v>
      </c>
      <c r="F10" s="34">
        <f t="shared" si="0"/>
        <v>5400</v>
      </c>
    </row>
    <row r="11" spans="1:9" x14ac:dyDescent="0.25">
      <c r="A11" s="35" t="s">
        <v>127</v>
      </c>
      <c r="B11" s="14">
        <v>18</v>
      </c>
      <c r="C11" s="14">
        <v>15</v>
      </c>
      <c r="D11" s="14">
        <v>300</v>
      </c>
      <c r="E11" s="14" t="s">
        <v>134</v>
      </c>
      <c r="F11" s="34">
        <f t="shared" si="0"/>
        <v>4500</v>
      </c>
    </row>
    <row r="12" spans="1:9" x14ac:dyDescent="0.25">
      <c r="A12" s="35" t="s">
        <v>128</v>
      </c>
      <c r="B12" s="14">
        <v>18</v>
      </c>
      <c r="C12" s="14">
        <v>15</v>
      </c>
      <c r="D12" s="14">
        <v>300</v>
      </c>
      <c r="E12" s="14" t="s">
        <v>134</v>
      </c>
      <c r="F12" s="34">
        <f t="shared" si="0"/>
        <v>4500</v>
      </c>
    </row>
    <row r="13" spans="1:9" x14ac:dyDescent="0.25">
      <c r="A13" s="35" t="s">
        <v>129</v>
      </c>
      <c r="B13" s="14">
        <v>50</v>
      </c>
      <c r="C13" s="14">
        <v>400</v>
      </c>
      <c r="D13" s="14">
        <v>300</v>
      </c>
      <c r="E13" s="14" t="s">
        <v>134</v>
      </c>
      <c r="F13" s="34">
        <f t="shared" si="0"/>
        <v>120000</v>
      </c>
    </row>
    <row r="14" spans="1:9" x14ac:dyDescent="0.25">
      <c r="A14" s="35" t="s">
        <v>130</v>
      </c>
      <c r="B14" s="14">
        <v>5</v>
      </c>
      <c r="C14" s="14">
        <v>30</v>
      </c>
      <c r="D14" s="14">
        <v>270</v>
      </c>
      <c r="E14" s="14" t="s">
        <v>130</v>
      </c>
      <c r="F14" s="34">
        <f t="shared" si="0"/>
        <v>8100</v>
      </c>
    </row>
    <row r="15" spans="1:9" ht="21" x14ac:dyDescent="0.35">
      <c r="A15" s="212" t="s">
        <v>9</v>
      </c>
      <c r="B15" s="212"/>
      <c r="C15" s="212"/>
      <c r="D15" s="212"/>
      <c r="E15" s="212"/>
      <c r="F15" s="149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showGridLines="0" topLeftCell="A50" zoomScale="70" zoomScaleNormal="70" workbookViewId="0">
      <selection activeCell="A65" sqref="A65:O84"/>
    </sheetView>
  </sheetViews>
  <sheetFormatPr defaultColWidth="11.42578125" defaultRowHeight="18.75" x14ac:dyDescent="0.3"/>
  <cols>
    <col min="1" max="1" width="16.42578125" style="74" customWidth="1"/>
    <col min="2" max="3" width="21.5703125" style="74" bestFit="1" customWidth="1"/>
    <col min="4" max="6" width="16.7109375" style="74" bestFit="1" customWidth="1"/>
    <col min="7" max="15" width="12.85546875" style="74" bestFit="1" customWidth="1"/>
    <col min="16" max="16384" width="11.42578125" style="74"/>
  </cols>
  <sheetData>
    <row r="3" spans="1:15" x14ac:dyDescent="0.3">
      <c r="A3" s="159" t="s">
        <v>37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</row>
    <row r="4" spans="1:15" x14ac:dyDescent="0.3">
      <c r="A4" s="158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5" x14ac:dyDescent="0.3">
      <c r="A5" s="158" t="s">
        <v>164</v>
      </c>
      <c r="B5" s="143"/>
      <c r="C5" s="143"/>
      <c r="D5" s="213" t="s">
        <v>152</v>
      </c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</row>
    <row r="6" spans="1:15" x14ac:dyDescent="0.3">
      <c r="C6" s="74" t="s">
        <v>155</v>
      </c>
      <c r="D6" s="85">
        <v>1</v>
      </c>
      <c r="E6" s="85">
        <v>2</v>
      </c>
      <c r="F6" s="85">
        <v>3</v>
      </c>
      <c r="G6" s="85">
        <v>4</v>
      </c>
      <c r="H6" s="85">
        <v>5</v>
      </c>
      <c r="I6" s="85">
        <v>6</v>
      </c>
      <c r="J6" s="85">
        <v>7</v>
      </c>
      <c r="K6" s="85">
        <v>8</v>
      </c>
      <c r="L6" s="85">
        <v>9</v>
      </c>
      <c r="M6" s="85">
        <v>10</v>
      </c>
      <c r="N6" s="85">
        <v>11</v>
      </c>
      <c r="O6" s="85">
        <v>12</v>
      </c>
    </row>
    <row r="7" spans="1:15" x14ac:dyDescent="0.3">
      <c r="A7" s="85"/>
      <c r="B7" s="85" t="s">
        <v>153</v>
      </c>
      <c r="C7" s="105">
        <f>SUM(D7:O8)</f>
        <v>520000</v>
      </c>
      <c r="D7" s="90">
        <v>40000</v>
      </c>
      <c r="E7" s="90">
        <v>40000</v>
      </c>
      <c r="F7" s="90">
        <v>40000</v>
      </c>
      <c r="G7" s="90">
        <v>40000</v>
      </c>
      <c r="H7" s="90">
        <v>40000</v>
      </c>
      <c r="I7" s="90">
        <v>40000</v>
      </c>
      <c r="J7" s="90">
        <v>40000</v>
      </c>
      <c r="K7" s="90">
        <v>40000</v>
      </c>
      <c r="L7" s="90">
        <v>40000</v>
      </c>
      <c r="M7" s="90">
        <v>40000</v>
      </c>
      <c r="N7" s="90">
        <v>40000</v>
      </c>
      <c r="O7" s="90">
        <v>40000</v>
      </c>
    </row>
    <row r="8" spans="1:15" x14ac:dyDescent="0.3">
      <c r="A8" s="85" t="s">
        <v>149</v>
      </c>
      <c r="B8" s="85"/>
      <c r="C8" s="85"/>
      <c r="D8" s="85"/>
      <c r="E8" s="85"/>
      <c r="F8" s="85"/>
      <c r="G8" s="85"/>
      <c r="H8" s="85"/>
      <c r="I8" s="90">
        <f>I7/2</f>
        <v>20000</v>
      </c>
      <c r="J8" s="85"/>
      <c r="K8" s="85"/>
      <c r="L8" s="85"/>
      <c r="M8" s="85"/>
      <c r="N8" s="85"/>
      <c r="O8" s="90">
        <f>O7/2</f>
        <v>20000</v>
      </c>
    </row>
    <row r="9" spans="1:15" x14ac:dyDescent="0.3">
      <c r="A9" s="85" t="s">
        <v>150</v>
      </c>
      <c r="B9" s="102">
        <v>0.17</v>
      </c>
      <c r="C9" s="90">
        <f t="shared" ref="C9:H9" si="0">C7*$B$9</f>
        <v>88400</v>
      </c>
      <c r="D9" s="90">
        <f t="shared" si="0"/>
        <v>6800.0000000000009</v>
      </c>
      <c r="E9" s="90">
        <f t="shared" si="0"/>
        <v>6800.0000000000009</v>
      </c>
      <c r="F9" s="90">
        <f t="shared" si="0"/>
        <v>6800.0000000000009</v>
      </c>
      <c r="G9" s="90">
        <f t="shared" si="0"/>
        <v>6800.0000000000009</v>
      </c>
      <c r="H9" s="90">
        <f t="shared" si="0"/>
        <v>6800.0000000000009</v>
      </c>
      <c r="I9" s="90">
        <f>(I7+I8)*$B$9</f>
        <v>10200</v>
      </c>
      <c r="J9" s="90">
        <f>J7*$B$9</f>
        <v>6800.0000000000009</v>
      </c>
      <c r="K9" s="90">
        <f>K7*$B$9</f>
        <v>6800.0000000000009</v>
      </c>
      <c r="L9" s="90">
        <f>L7*$B$9</f>
        <v>6800.0000000000009</v>
      </c>
      <c r="M9" s="90">
        <f>M7*$B$9</f>
        <v>6800.0000000000009</v>
      </c>
      <c r="N9" s="90">
        <f>N7*$B$9</f>
        <v>6800.0000000000009</v>
      </c>
      <c r="O9" s="90">
        <f>(O7+O8)*$B$9</f>
        <v>10200</v>
      </c>
    </row>
    <row r="10" spans="1:15" x14ac:dyDescent="0.3">
      <c r="A10" s="85" t="s">
        <v>151</v>
      </c>
      <c r="B10" s="102">
        <v>0.06</v>
      </c>
      <c r="C10" s="90">
        <f t="shared" ref="C10:H10" si="1">C7*$B$10</f>
        <v>31200</v>
      </c>
      <c r="D10" s="90">
        <f t="shared" si="1"/>
        <v>2400</v>
      </c>
      <c r="E10" s="90">
        <f t="shared" si="1"/>
        <v>2400</v>
      </c>
      <c r="F10" s="90">
        <f t="shared" si="1"/>
        <v>2400</v>
      </c>
      <c r="G10" s="90">
        <f t="shared" si="1"/>
        <v>2400</v>
      </c>
      <c r="H10" s="90">
        <f t="shared" si="1"/>
        <v>2400</v>
      </c>
      <c r="I10" s="90">
        <f>(I7+I8)*$B$10</f>
        <v>3600</v>
      </c>
      <c r="J10" s="90">
        <f>J7*$B$10</f>
        <v>2400</v>
      </c>
      <c r="K10" s="90">
        <f>K7*$B$10</f>
        <v>2400</v>
      </c>
      <c r="L10" s="90">
        <f>L7*$B$10</f>
        <v>2400</v>
      </c>
      <c r="M10" s="90">
        <f>M7*$B$10</f>
        <v>2400</v>
      </c>
      <c r="N10" s="90">
        <f>N7*$B$10</f>
        <v>2400</v>
      </c>
      <c r="O10" s="90">
        <f>(O7+O8)*$B$10</f>
        <v>3600</v>
      </c>
    </row>
    <row r="11" spans="1:15" x14ac:dyDescent="0.3">
      <c r="C11" s="75" t="s">
        <v>154</v>
      </c>
      <c r="D11" s="106">
        <f>D7-D9-D10</f>
        <v>30800</v>
      </c>
      <c r="E11" s="106">
        <f t="shared" ref="E11:N11" si="2">E7-E9-E10</f>
        <v>30800</v>
      </c>
      <c r="F11" s="106">
        <f t="shared" si="2"/>
        <v>30800</v>
      </c>
      <c r="G11" s="106">
        <f t="shared" si="2"/>
        <v>30800</v>
      </c>
      <c r="H11" s="106">
        <f t="shared" si="2"/>
        <v>30800</v>
      </c>
      <c r="I11" s="106">
        <f>I7+I8-I9-I10</f>
        <v>46200</v>
      </c>
      <c r="J11" s="106">
        <f t="shared" si="2"/>
        <v>30800</v>
      </c>
      <c r="K11" s="106">
        <f t="shared" si="2"/>
        <v>30800</v>
      </c>
      <c r="L11" s="106">
        <f t="shared" si="2"/>
        <v>30800</v>
      </c>
      <c r="M11" s="106">
        <f t="shared" si="2"/>
        <v>30800</v>
      </c>
      <c r="N11" s="106">
        <f t="shared" si="2"/>
        <v>30800</v>
      </c>
      <c r="O11" s="106">
        <f>O7+O8-O9-O10</f>
        <v>46200</v>
      </c>
    </row>
    <row r="15" spans="1:15" x14ac:dyDescent="0.3">
      <c r="A15" s="158" t="s">
        <v>165</v>
      </c>
      <c r="B15" s="143"/>
      <c r="C15" s="143"/>
      <c r="D15" s="213" t="s">
        <v>152</v>
      </c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</row>
    <row r="16" spans="1:15" x14ac:dyDescent="0.3">
      <c r="A16" s="143"/>
      <c r="B16" s="143"/>
      <c r="C16" s="143" t="s">
        <v>155</v>
      </c>
      <c r="D16" s="144">
        <v>1</v>
      </c>
      <c r="E16" s="144">
        <v>2</v>
      </c>
      <c r="F16" s="144">
        <v>3</v>
      </c>
      <c r="G16" s="144">
        <v>4</v>
      </c>
      <c r="H16" s="144">
        <v>5</v>
      </c>
      <c r="I16" s="144">
        <v>6</v>
      </c>
      <c r="J16" s="144">
        <v>7</v>
      </c>
      <c r="K16" s="144">
        <v>8</v>
      </c>
      <c r="L16" s="144">
        <v>9</v>
      </c>
      <c r="M16" s="144">
        <v>10</v>
      </c>
      <c r="N16" s="144">
        <v>11</v>
      </c>
      <c r="O16" s="144">
        <v>12</v>
      </c>
    </row>
    <row r="17" spans="1:15" x14ac:dyDescent="0.3">
      <c r="A17" s="85"/>
      <c r="B17" s="85" t="s">
        <v>153</v>
      </c>
      <c r="C17" s="105">
        <f>SUM(D17:O18)</f>
        <v>520000</v>
      </c>
      <c r="D17" s="90">
        <v>40000</v>
      </c>
      <c r="E17" s="90">
        <v>40000</v>
      </c>
      <c r="F17" s="90">
        <v>40000</v>
      </c>
      <c r="G17" s="90">
        <v>40000</v>
      </c>
      <c r="H17" s="90">
        <v>40000</v>
      </c>
      <c r="I17" s="90">
        <v>40000</v>
      </c>
      <c r="J17" s="90">
        <v>40000</v>
      </c>
      <c r="K17" s="90">
        <v>40000</v>
      </c>
      <c r="L17" s="90">
        <v>40000</v>
      </c>
      <c r="M17" s="90">
        <v>40000</v>
      </c>
      <c r="N17" s="90">
        <v>40000</v>
      </c>
      <c r="O17" s="90">
        <v>40000</v>
      </c>
    </row>
    <row r="18" spans="1:15" x14ac:dyDescent="0.3">
      <c r="A18" s="85" t="s">
        <v>149</v>
      </c>
      <c r="B18" s="85"/>
      <c r="C18" s="85"/>
      <c r="D18" s="85"/>
      <c r="E18" s="85"/>
      <c r="F18" s="85"/>
      <c r="G18" s="85"/>
      <c r="H18" s="85"/>
      <c r="I18" s="90">
        <f>I17/2</f>
        <v>20000</v>
      </c>
      <c r="J18" s="85"/>
      <c r="K18" s="85"/>
      <c r="L18" s="85"/>
      <c r="M18" s="85"/>
      <c r="N18" s="85"/>
      <c r="O18" s="90">
        <f>O17/2</f>
        <v>20000</v>
      </c>
    </row>
    <row r="19" spans="1:15" x14ac:dyDescent="0.3">
      <c r="A19" s="85" t="s">
        <v>150</v>
      </c>
      <c r="B19" s="102">
        <v>0.17</v>
      </c>
      <c r="C19" s="90">
        <f>C17*$B$9</f>
        <v>88400</v>
      </c>
      <c r="D19" s="90">
        <f>D17*$B$9</f>
        <v>6800.0000000000009</v>
      </c>
      <c r="E19" s="90">
        <f t="shared" ref="E19:H19" si="3">E17*$B$9</f>
        <v>6800.0000000000009</v>
      </c>
      <c r="F19" s="90">
        <f t="shared" si="3"/>
        <v>6800.0000000000009</v>
      </c>
      <c r="G19" s="90">
        <f t="shared" si="3"/>
        <v>6800.0000000000009</v>
      </c>
      <c r="H19" s="90">
        <f t="shared" si="3"/>
        <v>6800.0000000000009</v>
      </c>
      <c r="I19" s="90">
        <f>(I17+I18)*$B$9</f>
        <v>10200</v>
      </c>
      <c r="J19" s="90">
        <f t="shared" ref="J19:N19" si="4">J17*$B$9</f>
        <v>6800.0000000000009</v>
      </c>
      <c r="K19" s="90">
        <f t="shared" si="4"/>
        <v>6800.0000000000009</v>
      </c>
      <c r="L19" s="90">
        <f t="shared" si="4"/>
        <v>6800.0000000000009</v>
      </c>
      <c r="M19" s="90">
        <f t="shared" si="4"/>
        <v>6800.0000000000009</v>
      </c>
      <c r="N19" s="90">
        <f t="shared" si="4"/>
        <v>6800.0000000000009</v>
      </c>
      <c r="O19" s="90">
        <f>(O17+O18)*$B$9</f>
        <v>10200</v>
      </c>
    </row>
    <row r="20" spans="1:15" x14ac:dyDescent="0.3">
      <c r="A20" s="85" t="s">
        <v>151</v>
      </c>
      <c r="B20" s="102">
        <v>0.06</v>
      </c>
      <c r="C20" s="90">
        <f>C17*$B$10</f>
        <v>31200</v>
      </c>
      <c r="D20" s="90">
        <f>D17*$B$10</f>
        <v>2400</v>
      </c>
      <c r="E20" s="90">
        <f t="shared" ref="E20:H20" si="5">E17*$B$10</f>
        <v>2400</v>
      </c>
      <c r="F20" s="90">
        <f t="shared" si="5"/>
        <v>2400</v>
      </c>
      <c r="G20" s="90">
        <f t="shared" si="5"/>
        <v>2400</v>
      </c>
      <c r="H20" s="90">
        <f t="shared" si="5"/>
        <v>2400</v>
      </c>
      <c r="I20" s="90">
        <f>(I17+I18)*$B$10</f>
        <v>3600</v>
      </c>
      <c r="J20" s="90">
        <f>J17*$B$10</f>
        <v>2400</v>
      </c>
      <c r="K20" s="90">
        <f>K17*$B$10</f>
        <v>2400</v>
      </c>
      <c r="L20" s="90">
        <f>L17*$B$10</f>
        <v>2400</v>
      </c>
      <c r="M20" s="90">
        <f>M17*$B$10</f>
        <v>2400</v>
      </c>
      <c r="N20" s="90">
        <f>N17*$B$10</f>
        <v>2400</v>
      </c>
      <c r="O20" s="90">
        <f>(O17+O18)*$B$10</f>
        <v>3600</v>
      </c>
    </row>
    <row r="21" spans="1:15" x14ac:dyDescent="0.3">
      <c r="C21" s="75" t="s">
        <v>154</v>
      </c>
      <c r="D21" s="106">
        <f>D17-D19-D20</f>
        <v>30800</v>
      </c>
      <c r="E21" s="106">
        <f t="shared" ref="E21" si="6">E17-E19-E20</f>
        <v>30800</v>
      </c>
      <c r="F21" s="106">
        <f t="shared" ref="F21" si="7">F17-F19-F20</f>
        <v>30800</v>
      </c>
      <c r="G21" s="106">
        <f t="shared" ref="G21" si="8">G17-G19-G20</f>
        <v>30800</v>
      </c>
      <c r="H21" s="106">
        <f t="shared" ref="H21" si="9">H17-H19-H20</f>
        <v>30800</v>
      </c>
      <c r="I21" s="106">
        <f>I17+I18-I19-I20</f>
        <v>46200</v>
      </c>
      <c r="J21" s="106">
        <f t="shared" ref="J21:N21" si="10">J17-J19-J20</f>
        <v>30800</v>
      </c>
      <c r="K21" s="106">
        <f t="shared" si="10"/>
        <v>30800</v>
      </c>
      <c r="L21" s="106">
        <f t="shared" si="10"/>
        <v>30800</v>
      </c>
      <c r="M21" s="106">
        <f t="shared" si="10"/>
        <v>30800</v>
      </c>
      <c r="N21" s="106">
        <f t="shared" si="10"/>
        <v>30800</v>
      </c>
      <c r="O21" s="106">
        <f>O17+O18-O19-O20</f>
        <v>46200</v>
      </c>
    </row>
    <row r="24" spans="1:15" x14ac:dyDescent="0.3">
      <c r="A24" s="158" t="s">
        <v>166</v>
      </c>
      <c r="B24" s="143"/>
      <c r="C24" s="143"/>
      <c r="D24" s="213" t="s">
        <v>152</v>
      </c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</row>
    <row r="25" spans="1:15" x14ac:dyDescent="0.3">
      <c r="A25" s="143"/>
      <c r="B25" s="143"/>
      <c r="C25" s="143" t="s">
        <v>155</v>
      </c>
      <c r="D25" s="144">
        <v>1</v>
      </c>
      <c r="E25" s="144">
        <v>2</v>
      </c>
      <c r="F25" s="144">
        <v>3</v>
      </c>
      <c r="G25" s="144">
        <v>4</v>
      </c>
      <c r="H25" s="144">
        <v>5</v>
      </c>
      <c r="I25" s="144">
        <v>6</v>
      </c>
      <c r="J25" s="144">
        <v>7</v>
      </c>
      <c r="K25" s="144">
        <v>8</v>
      </c>
      <c r="L25" s="144">
        <v>9</v>
      </c>
      <c r="M25" s="144">
        <v>10</v>
      </c>
      <c r="N25" s="144">
        <v>11</v>
      </c>
      <c r="O25" s="144">
        <v>12</v>
      </c>
    </row>
    <row r="26" spans="1:15" x14ac:dyDescent="0.3">
      <c r="A26" s="85"/>
      <c r="B26" s="85" t="s">
        <v>153</v>
      </c>
      <c r="C26" s="105">
        <f>SUM(D26:O27)</f>
        <v>520000</v>
      </c>
      <c r="D26" s="90">
        <v>40000</v>
      </c>
      <c r="E26" s="90">
        <v>40000</v>
      </c>
      <c r="F26" s="90">
        <v>40000</v>
      </c>
      <c r="G26" s="90">
        <v>40000</v>
      </c>
      <c r="H26" s="90">
        <v>40000</v>
      </c>
      <c r="I26" s="90">
        <v>40000</v>
      </c>
      <c r="J26" s="90">
        <v>40000</v>
      </c>
      <c r="K26" s="90">
        <v>40000</v>
      </c>
      <c r="L26" s="90">
        <v>40000</v>
      </c>
      <c r="M26" s="90">
        <v>40000</v>
      </c>
      <c r="N26" s="90">
        <v>40000</v>
      </c>
      <c r="O26" s="90">
        <v>40000</v>
      </c>
    </row>
    <row r="27" spans="1:15" x14ac:dyDescent="0.3">
      <c r="A27" s="85" t="s">
        <v>149</v>
      </c>
      <c r="B27" s="85"/>
      <c r="C27" s="85"/>
      <c r="D27" s="85"/>
      <c r="E27" s="85"/>
      <c r="F27" s="85"/>
      <c r="G27" s="85"/>
      <c r="H27" s="85"/>
      <c r="I27" s="90">
        <f>I26/2</f>
        <v>20000</v>
      </c>
      <c r="J27" s="85"/>
      <c r="K27" s="85"/>
      <c r="L27" s="85"/>
      <c r="M27" s="85"/>
      <c r="N27" s="85"/>
      <c r="O27" s="90">
        <f>O26/2</f>
        <v>20000</v>
      </c>
    </row>
    <row r="28" spans="1:15" x14ac:dyDescent="0.3">
      <c r="A28" s="85" t="s">
        <v>150</v>
      </c>
      <c r="B28" s="102">
        <v>0.17</v>
      </c>
      <c r="C28" s="90">
        <f>C26*$B$9</f>
        <v>88400</v>
      </c>
      <c r="D28" s="90">
        <f>D26*$B$9</f>
        <v>6800.0000000000009</v>
      </c>
      <c r="E28" s="90">
        <f t="shared" ref="E28:H28" si="11">E26*$B$9</f>
        <v>6800.0000000000009</v>
      </c>
      <c r="F28" s="90">
        <f t="shared" si="11"/>
        <v>6800.0000000000009</v>
      </c>
      <c r="G28" s="90">
        <f t="shared" si="11"/>
        <v>6800.0000000000009</v>
      </c>
      <c r="H28" s="90">
        <f t="shared" si="11"/>
        <v>6800.0000000000009</v>
      </c>
      <c r="I28" s="90">
        <f>(I26+I27)*$B$9</f>
        <v>10200</v>
      </c>
      <c r="J28" s="90">
        <f t="shared" ref="J28:N28" si="12">J26*$B$9</f>
        <v>6800.0000000000009</v>
      </c>
      <c r="K28" s="90">
        <f t="shared" si="12"/>
        <v>6800.0000000000009</v>
      </c>
      <c r="L28" s="90">
        <f t="shared" si="12"/>
        <v>6800.0000000000009</v>
      </c>
      <c r="M28" s="90">
        <f t="shared" si="12"/>
        <v>6800.0000000000009</v>
      </c>
      <c r="N28" s="90">
        <f t="shared" si="12"/>
        <v>6800.0000000000009</v>
      </c>
      <c r="O28" s="90">
        <f>(O26+O27)*$B$9</f>
        <v>10200</v>
      </c>
    </row>
    <row r="29" spans="1:15" x14ac:dyDescent="0.3">
      <c r="A29" s="85" t="s">
        <v>151</v>
      </c>
      <c r="B29" s="102">
        <v>0.06</v>
      </c>
      <c r="C29" s="90">
        <f>C26*$B$10</f>
        <v>31200</v>
      </c>
      <c r="D29" s="90">
        <f>D26*$B$10</f>
        <v>2400</v>
      </c>
      <c r="E29" s="90">
        <f t="shared" ref="E29:H29" si="13">E26*$B$10</f>
        <v>2400</v>
      </c>
      <c r="F29" s="90">
        <f t="shared" si="13"/>
        <v>2400</v>
      </c>
      <c r="G29" s="90">
        <f t="shared" si="13"/>
        <v>2400</v>
      </c>
      <c r="H29" s="90">
        <f t="shared" si="13"/>
        <v>2400</v>
      </c>
      <c r="I29" s="90">
        <f>(I26+I27)*$B$10</f>
        <v>3600</v>
      </c>
      <c r="J29" s="90">
        <f>J26*$B$10</f>
        <v>2400</v>
      </c>
      <c r="K29" s="90">
        <f>K26*$B$10</f>
        <v>2400</v>
      </c>
      <c r="L29" s="90">
        <f>L26*$B$10</f>
        <v>2400</v>
      </c>
      <c r="M29" s="90">
        <f>M26*$B$10</f>
        <v>2400</v>
      </c>
      <c r="N29" s="90">
        <f>N26*$B$10</f>
        <v>2400</v>
      </c>
      <c r="O29" s="90">
        <f>(O26+O27)*$B$10</f>
        <v>3600</v>
      </c>
    </row>
    <row r="30" spans="1:15" x14ac:dyDescent="0.3">
      <c r="C30" s="75" t="s">
        <v>154</v>
      </c>
      <c r="D30" s="106">
        <f>D26-D28-D29</f>
        <v>30800</v>
      </c>
      <c r="E30" s="106">
        <f t="shared" ref="E30" si="14">E26-E28-E29</f>
        <v>30800</v>
      </c>
      <c r="F30" s="106">
        <f t="shared" ref="F30" si="15">F26-F28-F29</f>
        <v>30800</v>
      </c>
      <c r="G30" s="106">
        <f t="shared" ref="G30" si="16">G26-G28-G29</f>
        <v>30800</v>
      </c>
      <c r="H30" s="106">
        <f t="shared" ref="H30" si="17">H26-H28-H29</f>
        <v>30800</v>
      </c>
      <c r="I30" s="106">
        <f>I26+I27-I28-I29</f>
        <v>46200</v>
      </c>
      <c r="J30" s="106">
        <f t="shared" ref="J30:N30" si="18">J26-J28-J29</f>
        <v>30800</v>
      </c>
      <c r="K30" s="106">
        <f t="shared" si="18"/>
        <v>30800</v>
      </c>
      <c r="L30" s="106">
        <f t="shared" si="18"/>
        <v>30800</v>
      </c>
      <c r="M30" s="106">
        <f t="shared" si="18"/>
        <v>30800</v>
      </c>
      <c r="N30" s="106">
        <f t="shared" si="18"/>
        <v>30800</v>
      </c>
      <c r="O30" s="106">
        <f>O26+O27-O28-O29</f>
        <v>46200</v>
      </c>
    </row>
    <row r="34" spans="1:15" x14ac:dyDescent="0.3">
      <c r="A34" s="159" t="s">
        <v>162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</row>
    <row r="35" spans="1:15" x14ac:dyDescent="0.3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</row>
    <row r="36" spans="1:15" x14ac:dyDescent="0.3">
      <c r="A36" s="143" t="s">
        <v>157</v>
      </c>
      <c r="B36" s="143"/>
      <c r="C36" s="143"/>
      <c r="D36" s="213" t="s">
        <v>152</v>
      </c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</row>
    <row r="37" spans="1:15" x14ac:dyDescent="0.3">
      <c r="C37" s="74" t="s">
        <v>155</v>
      </c>
      <c r="D37" s="85">
        <v>1</v>
      </c>
      <c r="E37" s="85">
        <v>2</v>
      </c>
      <c r="F37" s="85">
        <v>3</v>
      </c>
      <c r="G37" s="85">
        <v>4</v>
      </c>
      <c r="H37" s="85">
        <v>5</v>
      </c>
      <c r="I37" s="85">
        <v>6</v>
      </c>
      <c r="J37" s="85">
        <v>7</v>
      </c>
      <c r="K37" s="85">
        <v>8</v>
      </c>
      <c r="L37" s="85">
        <v>9</v>
      </c>
      <c r="M37" s="85">
        <v>10</v>
      </c>
      <c r="N37" s="85">
        <v>11</v>
      </c>
      <c r="O37" s="85">
        <v>12</v>
      </c>
    </row>
    <row r="38" spans="1:15" x14ac:dyDescent="0.3">
      <c r="A38" s="85"/>
      <c r="B38" s="85" t="s">
        <v>153</v>
      </c>
      <c r="C38" s="105">
        <f>SUM(D38:O39)</f>
        <v>364000</v>
      </c>
      <c r="D38" s="90">
        <v>28000</v>
      </c>
      <c r="E38" s="90">
        <v>28000</v>
      </c>
      <c r="F38" s="90">
        <v>28000</v>
      </c>
      <c r="G38" s="90">
        <v>28000</v>
      </c>
      <c r="H38" s="90">
        <v>28000</v>
      </c>
      <c r="I38" s="90">
        <v>28000</v>
      </c>
      <c r="J38" s="90">
        <v>28000</v>
      </c>
      <c r="K38" s="90">
        <v>28000</v>
      </c>
      <c r="L38" s="90">
        <v>28000</v>
      </c>
      <c r="M38" s="90">
        <v>28000</v>
      </c>
      <c r="N38" s="90">
        <v>28000</v>
      </c>
      <c r="O38" s="90">
        <v>28000</v>
      </c>
    </row>
    <row r="39" spans="1:15" x14ac:dyDescent="0.3">
      <c r="A39" s="85" t="s">
        <v>149</v>
      </c>
      <c r="B39" s="85"/>
      <c r="C39" s="85"/>
      <c r="D39" s="85"/>
      <c r="E39" s="85"/>
      <c r="F39" s="85"/>
      <c r="G39" s="85"/>
      <c r="H39" s="85"/>
      <c r="I39" s="90">
        <f>I38/2</f>
        <v>14000</v>
      </c>
      <c r="J39" s="85"/>
      <c r="K39" s="85"/>
      <c r="L39" s="85"/>
      <c r="M39" s="85"/>
      <c r="N39" s="85"/>
      <c r="O39" s="90">
        <f>O38/2</f>
        <v>14000</v>
      </c>
    </row>
    <row r="40" spans="1:15" x14ac:dyDescent="0.3">
      <c r="A40" s="85" t="s">
        <v>150</v>
      </c>
      <c r="B40" s="102">
        <v>0.17</v>
      </c>
      <c r="C40" s="90">
        <f t="shared" ref="C40:H40" si="19">C38*$B$9</f>
        <v>61880.000000000007</v>
      </c>
      <c r="D40" s="90">
        <f t="shared" si="19"/>
        <v>4760</v>
      </c>
      <c r="E40" s="90">
        <f t="shared" si="19"/>
        <v>4760</v>
      </c>
      <c r="F40" s="90">
        <f t="shared" si="19"/>
        <v>4760</v>
      </c>
      <c r="G40" s="90">
        <f t="shared" si="19"/>
        <v>4760</v>
      </c>
      <c r="H40" s="90">
        <f t="shared" si="19"/>
        <v>4760</v>
      </c>
      <c r="I40" s="90">
        <f>(I38+I39)*$B$9</f>
        <v>7140.0000000000009</v>
      </c>
      <c r="J40" s="90">
        <f>J38*$B$9</f>
        <v>4760</v>
      </c>
      <c r="K40" s="90">
        <f>K38*$B$9</f>
        <v>4760</v>
      </c>
      <c r="L40" s="90">
        <f>L38*$B$9</f>
        <v>4760</v>
      </c>
      <c r="M40" s="90">
        <f>M38*$B$9</f>
        <v>4760</v>
      </c>
      <c r="N40" s="90">
        <f>N38*$B$9</f>
        <v>4760</v>
      </c>
      <c r="O40" s="90">
        <f>(O38+O39)*$B$9</f>
        <v>7140.0000000000009</v>
      </c>
    </row>
    <row r="41" spans="1:15" x14ac:dyDescent="0.3">
      <c r="A41" s="85" t="s">
        <v>151</v>
      </c>
      <c r="B41" s="102">
        <v>0.06</v>
      </c>
      <c r="C41" s="90">
        <f t="shared" ref="C41:H41" si="20">C38*$B$10</f>
        <v>21840</v>
      </c>
      <c r="D41" s="90">
        <f t="shared" si="20"/>
        <v>1680</v>
      </c>
      <c r="E41" s="90">
        <f t="shared" si="20"/>
        <v>1680</v>
      </c>
      <c r="F41" s="90">
        <f t="shared" si="20"/>
        <v>1680</v>
      </c>
      <c r="G41" s="90">
        <f t="shared" si="20"/>
        <v>1680</v>
      </c>
      <c r="H41" s="90">
        <f t="shared" si="20"/>
        <v>1680</v>
      </c>
      <c r="I41" s="90">
        <f>(I38+I39)*$B$10</f>
        <v>2520</v>
      </c>
      <c r="J41" s="90">
        <f>J38*$B$10</f>
        <v>1680</v>
      </c>
      <c r="K41" s="90">
        <f>K38*$B$10</f>
        <v>1680</v>
      </c>
      <c r="L41" s="90">
        <f>L38*$B$10</f>
        <v>1680</v>
      </c>
      <c r="M41" s="90">
        <f>M38*$B$10</f>
        <v>1680</v>
      </c>
      <c r="N41" s="90">
        <f>N38*$B$10</f>
        <v>1680</v>
      </c>
      <c r="O41" s="90">
        <f>(O38+O39)*$B$10</f>
        <v>2520</v>
      </c>
    </row>
    <row r="42" spans="1:15" x14ac:dyDescent="0.3">
      <c r="C42" s="75" t="s">
        <v>154</v>
      </c>
      <c r="D42" s="106">
        <f>D38-D40-D41</f>
        <v>21560</v>
      </c>
      <c r="E42" s="106">
        <f t="shared" ref="E42" si="21">E38-E40-E41</f>
        <v>21560</v>
      </c>
      <c r="F42" s="106">
        <f t="shared" ref="F42" si="22">F38-F40-F41</f>
        <v>21560</v>
      </c>
      <c r="G42" s="106">
        <f t="shared" ref="G42" si="23">G38-G40-G41</f>
        <v>21560</v>
      </c>
      <c r="H42" s="106">
        <f t="shared" ref="H42" si="24">H38-H40-H41</f>
        <v>21560</v>
      </c>
      <c r="I42" s="106">
        <f>I38+I39-I40-I41</f>
        <v>32340</v>
      </c>
      <c r="J42" s="106">
        <f t="shared" ref="J42:N42" si="25">J38-J40-J41</f>
        <v>21560</v>
      </c>
      <c r="K42" s="106">
        <f t="shared" si="25"/>
        <v>21560</v>
      </c>
      <c r="L42" s="106">
        <f t="shared" si="25"/>
        <v>21560</v>
      </c>
      <c r="M42" s="106">
        <f t="shared" si="25"/>
        <v>21560</v>
      </c>
      <c r="N42" s="106">
        <f t="shared" si="25"/>
        <v>21560</v>
      </c>
      <c r="O42" s="106">
        <f>O38+O39-O40-O41</f>
        <v>32340</v>
      </c>
    </row>
    <row r="46" spans="1:15" x14ac:dyDescent="0.3">
      <c r="A46" s="158" t="s">
        <v>158</v>
      </c>
      <c r="B46" s="143"/>
      <c r="C46" s="143"/>
      <c r="D46" s="213" t="s">
        <v>152</v>
      </c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</row>
    <row r="47" spans="1:15" x14ac:dyDescent="0.3">
      <c r="A47" s="143"/>
      <c r="B47" s="143"/>
      <c r="C47" s="143" t="s">
        <v>155</v>
      </c>
      <c r="D47" s="144">
        <v>1</v>
      </c>
      <c r="E47" s="144">
        <v>2</v>
      </c>
      <c r="F47" s="144">
        <v>3</v>
      </c>
      <c r="G47" s="144">
        <v>4</v>
      </c>
      <c r="H47" s="144">
        <v>5</v>
      </c>
      <c r="I47" s="144">
        <v>6</v>
      </c>
      <c r="J47" s="144">
        <v>7</v>
      </c>
      <c r="K47" s="144">
        <v>8</v>
      </c>
      <c r="L47" s="144">
        <v>9</v>
      </c>
      <c r="M47" s="144">
        <v>10</v>
      </c>
      <c r="N47" s="144">
        <v>11</v>
      </c>
      <c r="O47" s="144">
        <v>12</v>
      </c>
    </row>
    <row r="48" spans="1:15" x14ac:dyDescent="0.3">
      <c r="A48" s="85"/>
      <c r="B48" s="85" t="s">
        <v>153</v>
      </c>
      <c r="C48" s="105">
        <f>SUM(D48:O49)</f>
        <v>390000</v>
      </c>
      <c r="D48" s="90">
        <v>30000</v>
      </c>
      <c r="E48" s="90">
        <v>30000</v>
      </c>
      <c r="F48" s="90">
        <v>30000</v>
      </c>
      <c r="G48" s="90">
        <v>30000</v>
      </c>
      <c r="H48" s="90">
        <v>30000</v>
      </c>
      <c r="I48" s="90">
        <v>30000</v>
      </c>
      <c r="J48" s="90">
        <v>30000</v>
      </c>
      <c r="K48" s="90">
        <v>30000</v>
      </c>
      <c r="L48" s="90">
        <v>30000</v>
      </c>
      <c r="M48" s="90">
        <v>30000</v>
      </c>
      <c r="N48" s="90">
        <v>30000</v>
      </c>
      <c r="O48" s="90">
        <v>30000</v>
      </c>
    </row>
    <row r="49" spans="1:15" x14ac:dyDescent="0.3">
      <c r="A49" s="85" t="s">
        <v>149</v>
      </c>
      <c r="B49" s="85"/>
      <c r="C49" s="85"/>
      <c r="D49" s="85"/>
      <c r="E49" s="85"/>
      <c r="F49" s="85"/>
      <c r="G49" s="85"/>
      <c r="H49" s="85"/>
      <c r="I49" s="90">
        <f>I48/2</f>
        <v>15000</v>
      </c>
      <c r="J49" s="85"/>
      <c r="K49" s="85"/>
      <c r="L49" s="85"/>
      <c r="M49" s="85"/>
      <c r="N49" s="85"/>
      <c r="O49" s="90">
        <f>O48/2</f>
        <v>15000</v>
      </c>
    </row>
    <row r="50" spans="1:15" x14ac:dyDescent="0.3">
      <c r="A50" s="85" t="s">
        <v>150</v>
      </c>
      <c r="B50" s="102">
        <v>0.17</v>
      </c>
      <c r="C50" s="90">
        <f t="shared" ref="C50:H50" si="26">C48*$B$9</f>
        <v>66300</v>
      </c>
      <c r="D50" s="90">
        <f t="shared" si="26"/>
        <v>5100</v>
      </c>
      <c r="E50" s="90">
        <f t="shared" si="26"/>
        <v>5100</v>
      </c>
      <c r="F50" s="90">
        <f t="shared" si="26"/>
        <v>5100</v>
      </c>
      <c r="G50" s="90">
        <f t="shared" si="26"/>
        <v>5100</v>
      </c>
      <c r="H50" s="90">
        <f t="shared" si="26"/>
        <v>5100</v>
      </c>
      <c r="I50" s="90">
        <f>(I48+I49)*$B$9</f>
        <v>7650.0000000000009</v>
      </c>
      <c r="J50" s="90">
        <f>J48*$B$9</f>
        <v>5100</v>
      </c>
      <c r="K50" s="90">
        <f>K48*$B$9</f>
        <v>5100</v>
      </c>
      <c r="L50" s="90">
        <f>L48*$B$9</f>
        <v>5100</v>
      </c>
      <c r="M50" s="90">
        <f>M48*$B$9</f>
        <v>5100</v>
      </c>
      <c r="N50" s="90">
        <f>N48*$B$9</f>
        <v>5100</v>
      </c>
      <c r="O50" s="90">
        <f>(O48+O49)*$B$9</f>
        <v>7650.0000000000009</v>
      </c>
    </row>
    <row r="51" spans="1:15" x14ac:dyDescent="0.3">
      <c r="A51" s="85" t="s">
        <v>151</v>
      </c>
      <c r="B51" s="102">
        <v>0.06</v>
      </c>
      <c r="C51" s="90">
        <f t="shared" ref="C51:H51" si="27">C48*$B$10</f>
        <v>23400</v>
      </c>
      <c r="D51" s="90">
        <f t="shared" si="27"/>
        <v>1800</v>
      </c>
      <c r="E51" s="90">
        <f t="shared" si="27"/>
        <v>1800</v>
      </c>
      <c r="F51" s="90">
        <f t="shared" si="27"/>
        <v>1800</v>
      </c>
      <c r="G51" s="90">
        <f t="shared" si="27"/>
        <v>1800</v>
      </c>
      <c r="H51" s="90">
        <f t="shared" si="27"/>
        <v>1800</v>
      </c>
      <c r="I51" s="90">
        <f>(I48+I49)*$B$10</f>
        <v>2700</v>
      </c>
      <c r="J51" s="90">
        <f>J48*$B$10</f>
        <v>1800</v>
      </c>
      <c r="K51" s="90">
        <f>K48*$B$10</f>
        <v>1800</v>
      </c>
      <c r="L51" s="90">
        <f>L48*$B$10</f>
        <v>1800</v>
      </c>
      <c r="M51" s="90">
        <f>M48*$B$10</f>
        <v>1800</v>
      </c>
      <c r="N51" s="90">
        <f>N48*$B$10</f>
        <v>1800</v>
      </c>
      <c r="O51" s="90">
        <f>(O48+O49)*$B$10</f>
        <v>2700</v>
      </c>
    </row>
    <row r="52" spans="1:15" x14ac:dyDescent="0.3">
      <c r="C52" s="75" t="s">
        <v>154</v>
      </c>
      <c r="D52" s="106">
        <f>D48-D50-D51</f>
        <v>23100</v>
      </c>
      <c r="E52" s="106">
        <f t="shared" ref="E52" si="28">E48-E50-E51</f>
        <v>23100</v>
      </c>
      <c r="F52" s="106">
        <f t="shared" ref="F52" si="29">F48-F50-F51</f>
        <v>23100</v>
      </c>
      <c r="G52" s="106">
        <f t="shared" ref="G52" si="30">G48-G50-G51</f>
        <v>23100</v>
      </c>
      <c r="H52" s="106">
        <f t="shared" ref="H52" si="31">H48-H50-H51</f>
        <v>23100</v>
      </c>
      <c r="I52" s="106">
        <f>I48+I49-I50-I51</f>
        <v>34650</v>
      </c>
      <c r="J52" s="106">
        <f t="shared" ref="J52:N52" si="32">J48-J50-J51</f>
        <v>23100</v>
      </c>
      <c r="K52" s="106">
        <f t="shared" si="32"/>
        <v>23100</v>
      </c>
      <c r="L52" s="106">
        <f t="shared" si="32"/>
        <v>23100</v>
      </c>
      <c r="M52" s="106">
        <f t="shared" si="32"/>
        <v>23100</v>
      </c>
      <c r="N52" s="106">
        <f t="shared" si="32"/>
        <v>23100</v>
      </c>
      <c r="O52" s="106">
        <f>O48+O49-O50-O51</f>
        <v>34650</v>
      </c>
    </row>
    <row r="56" spans="1:15" x14ac:dyDescent="0.3">
      <c r="A56" s="75" t="s">
        <v>159</v>
      </c>
      <c r="D56" s="217" t="s">
        <v>152</v>
      </c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</row>
    <row r="57" spans="1:15" x14ac:dyDescent="0.3">
      <c r="C57" s="74" t="s">
        <v>155</v>
      </c>
      <c r="D57" s="85">
        <v>1</v>
      </c>
      <c r="E57" s="85">
        <v>2</v>
      </c>
      <c r="F57" s="85">
        <v>3</v>
      </c>
      <c r="G57" s="85">
        <v>4</v>
      </c>
      <c r="H57" s="85">
        <v>5</v>
      </c>
      <c r="I57" s="85">
        <v>6</v>
      </c>
      <c r="J57" s="85">
        <v>7</v>
      </c>
      <c r="K57" s="85">
        <v>8</v>
      </c>
      <c r="L57" s="85">
        <v>9</v>
      </c>
      <c r="M57" s="85">
        <v>10</v>
      </c>
      <c r="N57" s="85">
        <v>11</v>
      </c>
      <c r="O57" s="85">
        <v>12</v>
      </c>
    </row>
    <row r="58" spans="1:15" x14ac:dyDescent="0.3">
      <c r="A58" s="85"/>
      <c r="B58" s="85" t="s">
        <v>153</v>
      </c>
      <c r="C58" s="105">
        <f>SUM(D58:O59)</f>
        <v>377000</v>
      </c>
      <c r="D58" s="90">
        <v>29000</v>
      </c>
      <c r="E58" s="90">
        <v>29000</v>
      </c>
      <c r="F58" s="90">
        <v>29000</v>
      </c>
      <c r="G58" s="90">
        <v>29000</v>
      </c>
      <c r="H58" s="90">
        <v>29000</v>
      </c>
      <c r="I58" s="90">
        <v>29000</v>
      </c>
      <c r="J58" s="90">
        <v>29000</v>
      </c>
      <c r="K58" s="90">
        <v>29000</v>
      </c>
      <c r="L58" s="90">
        <v>29000</v>
      </c>
      <c r="M58" s="90">
        <v>29000</v>
      </c>
      <c r="N58" s="90">
        <v>29000</v>
      </c>
      <c r="O58" s="90">
        <v>29000</v>
      </c>
    </row>
    <row r="59" spans="1:15" x14ac:dyDescent="0.3">
      <c r="A59" s="85" t="s">
        <v>149</v>
      </c>
      <c r="B59" s="85"/>
      <c r="C59" s="85"/>
      <c r="D59" s="85"/>
      <c r="E59" s="85"/>
      <c r="F59" s="85"/>
      <c r="G59" s="85"/>
      <c r="H59" s="85"/>
      <c r="I59" s="90">
        <f>I58/2</f>
        <v>14500</v>
      </c>
      <c r="J59" s="85"/>
      <c r="K59" s="85"/>
      <c r="L59" s="85"/>
      <c r="M59" s="85"/>
      <c r="N59" s="85"/>
      <c r="O59" s="90">
        <f>O58/2</f>
        <v>14500</v>
      </c>
    </row>
    <row r="60" spans="1:15" x14ac:dyDescent="0.3">
      <c r="A60" s="85" t="s">
        <v>150</v>
      </c>
      <c r="B60" s="102">
        <v>0.17</v>
      </c>
      <c r="C60" s="90">
        <f t="shared" ref="C60:H60" si="33">C58*$B$9</f>
        <v>64090.000000000007</v>
      </c>
      <c r="D60" s="90">
        <f t="shared" si="33"/>
        <v>4930</v>
      </c>
      <c r="E60" s="90">
        <f t="shared" si="33"/>
        <v>4930</v>
      </c>
      <c r="F60" s="90">
        <f t="shared" si="33"/>
        <v>4930</v>
      </c>
      <c r="G60" s="90">
        <f t="shared" si="33"/>
        <v>4930</v>
      </c>
      <c r="H60" s="90">
        <f t="shared" si="33"/>
        <v>4930</v>
      </c>
      <c r="I60" s="90">
        <f>(I58+I59)*$B$9</f>
        <v>7395.0000000000009</v>
      </c>
      <c r="J60" s="90">
        <f>J58*$B$9</f>
        <v>4930</v>
      </c>
      <c r="K60" s="90">
        <f>K58*$B$9</f>
        <v>4930</v>
      </c>
      <c r="L60" s="90">
        <f>L58*$B$9</f>
        <v>4930</v>
      </c>
      <c r="M60" s="90">
        <f>M58*$B$9</f>
        <v>4930</v>
      </c>
      <c r="N60" s="90">
        <f>N58*$B$9</f>
        <v>4930</v>
      </c>
      <c r="O60" s="90">
        <f>(O58+O59)*$B$9</f>
        <v>7395.0000000000009</v>
      </c>
    </row>
    <row r="61" spans="1:15" x14ac:dyDescent="0.3">
      <c r="A61" s="85" t="s">
        <v>151</v>
      </c>
      <c r="B61" s="102">
        <v>0.06</v>
      </c>
      <c r="C61" s="90">
        <f t="shared" ref="C61:H61" si="34">C58*$B$10</f>
        <v>22620</v>
      </c>
      <c r="D61" s="90">
        <f t="shared" si="34"/>
        <v>1740</v>
      </c>
      <c r="E61" s="90">
        <f t="shared" si="34"/>
        <v>1740</v>
      </c>
      <c r="F61" s="90">
        <f t="shared" si="34"/>
        <v>1740</v>
      </c>
      <c r="G61" s="90">
        <f t="shared" si="34"/>
        <v>1740</v>
      </c>
      <c r="H61" s="90">
        <f t="shared" si="34"/>
        <v>1740</v>
      </c>
      <c r="I61" s="90">
        <f>(I58+I59)*$B$10</f>
        <v>2610</v>
      </c>
      <c r="J61" s="90">
        <f>J58*$B$10</f>
        <v>1740</v>
      </c>
      <c r="K61" s="90">
        <f>K58*$B$10</f>
        <v>1740</v>
      </c>
      <c r="L61" s="90">
        <f>L58*$B$10</f>
        <v>1740</v>
      </c>
      <c r="M61" s="90">
        <f>M58*$B$10</f>
        <v>1740</v>
      </c>
      <c r="N61" s="90">
        <f>N58*$B$10</f>
        <v>1740</v>
      </c>
      <c r="O61" s="90">
        <f>(O58+O59)*$B$10</f>
        <v>2610</v>
      </c>
    </row>
    <row r="62" spans="1:15" x14ac:dyDescent="0.3">
      <c r="C62" s="75" t="s">
        <v>154</v>
      </c>
      <c r="D62" s="106">
        <f>D58-D60-D61</f>
        <v>22330</v>
      </c>
      <c r="E62" s="106">
        <f t="shared" ref="E62" si="35">E58-E60-E61</f>
        <v>22330</v>
      </c>
      <c r="F62" s="106">
        <f t="shared" ref="F62" si="36">F58-F60-F61</f>
        <v>22330</v>
      </c>
      <c r="G62" s="106">
        <f t="shared" ref="G62" si="37">G58-G60-G61</f>
        <v>22330</v>
      </c>
      <c r="H62" s="106">
        <f t="shared" ref="H62" si="38">H58-H60-H61</f>
        <v>22330</v>
      </c>
      <c r="I62" s="106">
        <f>I58+I59-I60-I61</f>
        <v>33495</v>
      </c>
      <c r="J62" s="106">
        <f t="shared" ref="J62:N62" si="39">J58-J60-J61</f>
        <v>22330</v>
      </c>
      <c r="K62" s="106">
        <f t="shared" si="39"/>
        <v>22330</v>
      </c>
      <c r="L62" s="106">
        <f t="shared" si="39"/>
        <v>22330</v>
      </c>
      <c r="M62" s="106">
        <f t="shared" si="39"/>
        <v>22330</v>
      </c>
      <c r="N62" s="106">
        <f t="shared" si="39"/>
        <v>22330</v>
      </c>
      <c r="O62" s="106">
        <f>O58+O59-O60-O61</f>
        <v>33495</v>
      </c>
    </row>
    <row r="65" spans="1:15" x14ac:dyDescent="0.3">
      <c r="A65" s="159" t="s">
        <v>163</v>
      </c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</row>
    <row r="68" spans="1:15" x14ac:dyDescent="0.3">
      <c r="A68" s="143" t="s">
        <v>160</v>
      </c>
      <c r="B68" s="143"/>
      <c r="C68" s="143"/>
      <c r="D68" s="213" t="s">
        <v>152</v>
      </c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</row>
    <row r="69" spans="1:15" x14ac:dyDescent="0.3">
      <c r="A69" s="143"/>
      <c r="B69" s="143"/>
      <c r="C69" s="143" t="s">
        <v>155</v>
      </c>
      <c r="D69" s="144">
        <v>1</v>
      </c>
      <c r="E69" s="144">
        <v>2</v>
      </c>
      <c r="F69" s="144">
        <v>3</v>
      </c>
      <c r="G69" s="144">
        <v>4</v>
      </c>
      <c r="H69" s="144">
        <v>5</v>
      </c>
      <c r="I69" s="144">
        <v>6</v>
      </c>
      <c r="J69" s="144">
        <v>7</v>
      </c>
      <c r="K69" s="144">
        <v>8</v>
      </c>
      <c r="L69" s="144">
        <v>9</v>
      </c>
      <c r="M69" s="144">
        <v>10</v>
      </c>
      <c r="N69" s="144">
        <v>11</v>
      </c>
      <c r="O69" s="144">
        <v>12</v>
      </c>
    </row>
    <row r="70" spans="1:15" x14ac:dyDescent="0.3">
      <c r="A70" s="85"/>
      <c r="B70" s="85" t="s">
        <v>153</v>
      </c>
      <c r="C70" s="105">
        <f>SUM(D70:O71)</f>
        <v>416000</v>
      </c>
      <c r="D70" s="90">
        <v>32000</v>
      </c>
      <c r="E70" s="90">
        <v>32000</v>
      </c>
      <c r="F70" s="90">
        <v>32000</v>
      </c>
      <c r="G70" s="90">
        <v>32000</v>
      </c>
      <c r="H70" s="90">
        <v>32000</v>
      </c>
      <c r="I70" s="90">
        <v>32000</v>
      </c>
      <c r="J70" s="90">
        <v>32000</v>
      </c>
      <c r="K70" s="90">
        <v>32000</v>
      </c>
      <c r="L70" s="90">
        <v>32000</v>
      </c>
      <c r="M70" s="90">
        <v>32000</v>
      </c>
      <c r="N70" s="90">
        <v>32000</v>
      </c>
      <c r="O70" s="90">
        <v>32000</v>
      </c>
    </row>
    <row r="71" spans="1:15" x14ac:dyDescent="0.3">
      <c r="A71" s="85" t="s">
        <v>149</v>
      </c>
      <c r="B71" s="85"/>
      <c r="C71" s="85"/>
      <c r="D71" s="85"/>
      <c r="E71" s="85"/>
      <c r="F71" s="85"/>
      <c r="G71" s="85"/>
      <c r="H71" s="85"/>
      <c r="I71" s="90">
        <f>I70/2</f>
        <v>16000</v>
      </c>
      <c r="J71" s="85"/>
      <c r="K71" s="85"/>
      <c r="L71" s="85"/>
      <c r="M71" s="85"/>
      <c r="N71" s="85"/>
      <c r="O71" s="90">
        <f>O70/2</f>
        <v>16000</v>
      </c>
    </row>
    <row r="72" spans="1:15" x14ac:dyDescent="0.3">
      <c r="A72" s="85" t="s">
        <v>150</v>
      </c>
      <c r="B72" s="102">
        <v>0.17</v>
      </c>
      <c r="C72" s="90">
        <f t="shared" ref="C72:H72" si="40">C70*$B$9</f>
        <v>70720</v>
      </c>
      <c r="D72" s="90">
        <f t="shared" si="40"/>
        <v>5440</v>
      </c>
      <c r="E72" s="90">
        <f t="shared" si="40"/>
        <v>5440</v>
      </c>
      <c r="F72" s="90">
        <f t="shared" si="40"/>
        <v>5440</v>
      </c>
      <c r="G72" s="90">
        <f t="shared" si="40"/>
        <v>5440</v>
      </c>
      <c r="H72" s="90">
        <f t="shared" si="40"/>
        <v>5440</v>
      </c>
      <c r="I72" s="90">
        <f>(I70+I71)*$B$9</f>
        <v>8160.0000000000009</v>
      </c>
      <c r="J72" s="90">
        <f>J70*$B$9</f>
        <v>5440</v>
      </c>
      <c r="K72" s="90">
        <f>K70*$B$9</f>
        <v>5440</v>
      </c>
      <c r="L72" s="90">
        <f>L70*$B$9</f>
        <v>5440</v>
      </c>
      <c r="M72" s="90">
        <f>M70*$B$9</f>
        <v>5440</v>
      </c>
      <c r="N72" s="90">
        <f>N70*$B$9</f>
        <v>5440</v>
      </c>
      <c r="O72" s="90">
        <f>(O70+O71)*$B$9</f>
        <v>8160.0000000000009</v>
      </c>
    </row>
    <row r="73" spans="1:15" x14ac:dyDescent="0.3">
      <c r="A73" s="85" t="s">
        <v>151</v>
      </c>
      <c r="B73" s="102">
        <v>0.06</v>
      </c>
      <c r="C73" s="90">
        <f t="shared" ref="C73:H73" si="41">C70*$B$10</f>
        <v>24960</v>
      </c>
      <c r="D73" s="90">
        <f t="shared" si="41"/>
        <v>1920</v>
      </c>
      <c r="E73" s="90">
        <f t="shared" si="41"/>
        <v>1920</v>
      </c>
      <c r="F73" s="90">
        <f t="shared" si="41"/>
        <v>1920</v>
      </c>
      <c r="G73" s="90">
        <f t="shared" si="41"/>
        <v>1920</v>
      </c>
      <c r="H73" s="90">
        <f t="shared" si="41"/>
        <v>1920</v>
      </c>
      <c r="I73" s="90">
        <f>(I70+I71)*$B$10</f>
        <v>2880</v>
      </c>
      <c r="J73" s="90">
        <f>J70*$B$10</f>
        <v>1920</v>
      </c>
      <c r="K73" s="90">
        <f>K70*$B$10</f>
        <v>1920</v>
      </c>
      <c r="L73" s="90">
        <f>L70*$B$10</f>
        <v>1920</v>
      </c>
      <c r="M73" s="90">
        <f>M70*$B$10</f>
        <v>1920</v>
      </c>
      <c r="N73" s="90">
        <f>N70*$B$10</f>
        <v>1920</v>
      </c>
      <c r="O73" s="90">
        <f>(O70+O71)*$B$10</f>
        <v>2880</v>
      </c>
    </row>
    <row r="74" spans="1:15" x14ac:dyDescent="0.3">
      <c r="C74" s="75" t="s">
        <v>154</v>
      </c>
      <c r="D74" s="106">
        <f>D70-D72-D73</f>
        <v>24640</v>
      </c>
      <c r="E74" s="106">
        <f t="shared" ref="E74" si="42">E70-E72-E73</f>
        <v>24640</v>
      </c>
      <c r="F74" s="106">
        <f t="shared" ref="F74" si="43">F70-F72-F73</f>
        <v>24640</v>
      </c>
      <c r="G74" s="106">
        <f t="shared" ref="G74" si="44">G70-G72-G73</f>
        <v>24640</v>
      </c>
      <c r="H74" s="106">
        <f t="shared" ref="H74" si="45">H70-H72-H73</f>
        <v>24640</v>
      </c>
      <c r="I74" s="106">
        <f>I70+I71-I72-I73</f>
        <v>36960</v>
      </c>
      <c r="J74" s="106">
        <f t="shared" ref="J74:N74" si="46">J70-J72-J73</f>
        <v>24640</v>
      </c>
      <c r="K74" s="106">
        <f t="shared" si="46"/>
        <v>24640</v>
      </c>
      <c r="L74" s="106">
        <f t="shared" si="46"/>
        <v>24640</v>
      </c>
      <c r="M74" s="106">
        <f t="shared" si="46"/>
        <v>24640</v>
      </c>
      <c r="N74" s="106">
        <f t="shared" si="46"/>
        <v>24640</v>
      </c>
      <c r="O74" s="106">
        <f>O70+O71-O72-O73</f>
        <v>36960</v>
      </c>
    </row>
    <row r="78" spans="1:15" x14ac:dyDescent="0.3">
      <c r="A78" s="158" t="s">
        <v>161</v>
      </c>
      <c r="B78" s="143"/>
      <c r="C78" s="143"/>
      <c r="D78" s="213" t="s">
        <v>152</v>
      </c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</row>
    <row r="79" spans="1:15" x14ac:dyDescent="0.3">
      <c r="A79" s="143"/>
      <c r="B79" s="143"/>
      <c r="C79" s="143" t="s">
        <v>155</v>
      </c>
      <c r="D79" s="144">
        <v>1</v>
      </c>
      <c r="E79" s="144">
        <v>2</v>
      </c>
      <c r="F79" s="144">
        <v>3</v>
      </c>
      <c r="G79" s="144">
        <v>4</v>
      </c>
      <c r="H79" s="144">
        <v>5</v>
      </c>
      <c r="I79" s="144">
        <v>6</v>
      </c>
      <c r="J79" s="144">
        <v>7</v>
      </c>
      <c r="K79" s="144">
        <v>8</v>
      </c>
      <c r="L79" s="144">
        <v>9</v>
      </c>
      <c r="M79" s="144">
        <v>10</v>
      </c>
      <c r="N79" s="144">
        <v>11</v>
      </c>
      <c r="O79" s="144">
        <v>12</v>
      </c>
    </row>
    <row r="80" spans="1:15" x14ac:dyDescent="0.3">
      <c r="A80" s="85"/>
      <c r="B80" s="85" t="s">
        <v>153</v>
      </c>
      <c r="C80" s="105">
        <f>SUM(D80:O81)</f>
        <v>403000</v>
      </c>
      <c r="D80" s="90">
        <v>31000</v>
      </c>
      <c r="E80" s="90">
        <v>31000</v>
      </c>
      <c r="F80" s="90">
        <v>31000</v>
      </c>
      <c r="G80" s="90">
        <v>31000</v>
      </c>
      <c r="H80" s="90">
        <v>31000</v>
      </c>
      <c r="I80" s="90">
        <v>31000</v>
      </c>
      <c r="J80" s="90">
        <v>31000</v>
      </c>
      <c r="K80" s="90">
        <v>31000</v>
      </c>
      <c r="L80" s="90">
        <v>31000</v>
      </c>
      <c r="M80" s="90">
        <v>31000</v>
      </c>
      <c r="N80" s="90">
        <v>31000</v>
      </c>
      <c r="O80" s="90">
        <v>31000</v>
      </c>
    </row>
    <row r="81" spans="1:15" x14ac:dyDescent="0.3">
      <c r="A81" s="85" t="s">
        <v>149</v>
      </c>
      <c r="B81" s="85"/>
      <c r="C81" s="85"/>
      <c r="D81" s="85"/>
      <c r="E81" s="85"/>
      <c r="F81" s="85"/>
      <c r="G81" s="85"/>
      <c r="H81" s="85"/>
      <c r="I81" s="90">
        <f>I80/2</f>
        <v>15500</v>
      </c>
      <c r="J81" s="85"/>
      <c r="K81" s="85"/>
      <c r="L81" s="85"/>
      <c r="M81" s="85"/>
      <c r="N81" s="85"/>
      <c r="O81" s="90">
        <f>O80/2</f>
        <v>15500</v>
      </c>
    </row>
    <row r="82" spans="1:15" x14ac:dyDescent="0.3">
      <c r="A82" s="85" t="s">
        <v>150</v>
      </c>
      <c r="B82" s="102">
        <v>0.17</v>
      </c>
      <c r="C82" s="90">
        <f t="shared" ref="C82:H82" si="47">C80*$B$9</f>
        <v>68510</v>
      </c>
      <c r="D82" s="90">
        <f t="shared" si="47"/>
        <v>5270</v>
      </c>
      <c r="E82" s="90">
        <f t="shared" si="47"/>
        <v>5270</v>
      </c>
      <c r="F82" s="90">
        <f t="shared" si="47"/>
        <v>5270</v>
      </c>
      <c r="G82" s="90">
        <f t="shared" si="47"/>
        <v>5270</v>
      </c>
      <c r="H82" s="90">
        <f t="shared" si="47"/>
        <v>5270</v>
      </c>
      <c r="I82" s="90">
        <f>(I80+I81)*$B$9</f>
        <v>7905.0000000000009</v>
      </c>
      <c r="J82" s="90">
        <f>J80*$B$9</f>
        <v>5270</v>
      </c>
      <c r="K82" s="90">
        <f>K80*$B$9</f>
        <v>5270</v>
      </c>
      <c r="L82" s="90">
        <f>L80*$B$9</f>
        <v>5270</v>
      </c>
      <c r="M82" s="90">
        <f>M80*$B$9</f>
        <v>5270</v>
      </c>
      <c r="N82" s="90">
        <f>N80*$B$9</f>
        <v>5270</v>
      </c>
      <c r="O82" s="90">
        <f>(O80+O81)*$B$9</f>
        <v>7905.0000000000009</v>
      </c>
    </row>
    <row r="83" spans="1:15" x14ac:dyDescent="0.3">
      <c r="A83" s="85" t="s">
        <v>151</v>
      </c>
      <c r="B83" s="102">
        <v>0.06</v>
      </c>
      <c r="C83" s="90">
        <f t="shared" ref="C83:H83" si="48">C80*$B$10</f>
        <v>24180</v>
      </c>
      <c r="D83" s="90">
        <f t="shared" si="48"/>
        <v>1860</v>
      </c>
      <c r="E83" s="90">
        <f t="shared" si="48"/>
        <v>1860</v>
      </c>
      <c r="F83" s="90">
        <f t="shared" si="48"/>
        <v>1860</v>
      </c>
      <c r="G83" s="90">
        <f t="shared" si="48"/>
        <v>1860</v>
      </c>
      <c r="H83" s="90">
        <f t="shared" si="48"/>
        <v>1860</v>
      </c>
      <c r="I83" s="90">
        <f>(I80+I81)*$B$10</f>
        <v>2790</v>
      </c>
      <c r="J83" s="90">
        <f>J80*$B$10</f>
        <v>1860</v>
      </c>
      <c r="K83" s="90">
        <f>K80*$B$10</f>
        <v>1860</v>
      </c>
      <c r="L83" s="90">
        <f>L80*$B$10</f>
        <v>1860</v>
      </c>
      <c r="M83" s="90">
        <f>M80*$B$10</f>
        <v>1860</v>
      </c>
      <c r="N83" s="90">
        <f>N80*$B$10</f>
        <v>1860</v>
      </c>
      <c r="O83" s="90">
        <f>(O80+O81)*$B$10</f>
        <v>2790</v>
      </c>
    </row>
    <row r="84" spans="1:15" x14ac:dyDescent="0.3">
      <c r="C84" s="75" t="s">
        <v>154</v>
      </c>
      <c r="D84" s="106">
        <f>D80-D82-D83</f>
        <v>23870</v>
      </c>
      <c r="E84" s="106">
        <f t="shared" ref="E84" si="49">E80-E82-E83</f>
        <v>23870</v>
      </c>
      <c r="F84" s="106">
        <f t="shared" ref="F84" si="50">F80-F82-F83</f>
        <v>23870</v>
      </c>
      <c r="G84" s="106">
        <f t="shared" ref="G84" si="51">G80-G82-G83</f>
        <v>23870</v>
      </c>
      <c r="H84" s="106">
        <f t="shared" ref="H84" si="52">H80-H82-H83</f>
        <v>23870</v>
      </c>
      <c r="I84" s="106">
        <f>I80+I81-I82-I83</f>
        <v>35805</v>
      </c>
      <c r="J84" s="106">
        <f t="shared" ref="J84:N84" si="53">J80-J82-J83</f>
        <v>23870</v>
      </c>
      <c r="K84" s="106">
        <f t="shared" si="53"/>
        <v>23870</v>
      </c>
      <c r="L84" s="106">
        <f t="shared" si="53"/>
        <v>23870</v>
      </c>
      <c r="M84" s="106">
        <f t="shared" si="53"/>
        <v>23870</v>
      </c>
      <c r="N84" s="106">
        <f t="shared" si="53"/>
        <v>23870</v>
      </c>
      <c r="O84" s="106">
        <f>O80+O81-O82-O83</f>
        <v>35805</v>
      </c>
    </row>
    <row r="90" spans="1:15" x14ac:dyDescent="0.3">
      <c r="C90" s="144"/>
      <c r="D90" s="157" t="s">
        <v>37</v>
      </c>
      <c r="E90" s="157" t="s">
        <v>38</v>
      </c>
      <c r="F90" s="157" t="s">
        <v>39</v>
      </c>
    </row>
    <row r="91" spans="1:15" x14ac:dyDescent="0.3">
      <c r="C91" s="214" t="s">
        <v>156</v>
      </c>
      <c r="D91" s="90">
        <f>+C26+C17+C7</f>
        <v>1560000</v>
      </c>
      <c r="E91" s="90">
        <f>+D91+C38+C48+C58</f>
        <v>2691000</v>
      </c>
      <c r="F91" s="90">
        <f>+E91+C70+C80</f>
        <v>3510000</v>
      </c>
    </row>
    <row r="92" spans="1:15" x14ac:dyDescent="0.3">
      <c r="C92" s="215"/>
      <c r="D92" s="85"/>
      <c r="E92" s="85"/>
      <c r="F92" s="85"/>
    </row>
    <row r="93" spans="1:15" x14ac:dyDescent="0.3">
      <c r="C93" s="215"/>
      <c r="D93" s="85" t="s">
        <v>4</v>
      </c>
      <c r="E93" s="85" t="s">
        <v>4</v>
      </c>
      <c r="F93" s="85" t="s">
        <v>4</v>
      </c>
    </row>
    <row r="94" spans="1:15" x14ac:dyDescent="0.3">
      <c r="C94" s="216"/>
      <c r="D94" s="90">
        <f>D91/12</f>
        <v>130000</v>
      </c>
      <c r="E94" s="90">
        <f>E91/12</f>
        <v>224250</v>
      </c>
      <c r="F94" s="90">
        <f>F91/12</f>
        <v>292500</v>
      </c>
    </row>
  </sheetData>
  <mergeCells count="9">
    <mergeCell ref="D68:O68"/>
    <mergeCell ref="D78:O78"/>
    <mergeCell ref="C91:C94"/>
    <mergeCell ref="D5:O5"/>
    <mergeCell ref="D15:O15"/>
    <mergeCell ref="D24:O24"/>
    <mergeCell ref="D36:O36"/>
    <mergeCell ref="D46:O46"/>
    <mergeCell ref="D56:O5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B19" sqref="B19"/>
    </sheetView>
  </sheetViews>
  <sheetFormatPr defaultRowHeight="15" x14ac:dyDescent="0.25"/>
  <cols>
    <col min="1" max="1" width="25.28515625" customWidth="1"/>
    <col min="2" max="2" width="34.28515625" customWidth="1"/>
    <col min="3" max="3" width="23.140625" customWidth="1"/>
    <col min="4" max="4" width="13.7109375" bestFit="1" customWidth="1"/>
    <col min="9" max="9" width="12.28515625" bestFit="1" customWidth="1"/>
    <col min="11" max="11" width="8.140625" bestFit="1" customWidth="1"/>
    <col min="12" max="12" width="6.5703125" bestFit="1" customWidth="1"/>
    <col min="13" max="13" width="7" customWidth="1"/>
  </cols>
  <sheetData>
    <row r="1" spans="1:13" x14ac:dyDescent="0.25">
      <c r="A1" s="172" t="s">
        <v>181</v>
      </c>
      <c r="B1" s="172"/>
      <c r="C1" s="172"/>
      <c r="D1" s="172"/>
      <c r="E1" s="172"/>
      <c r="F1" s="172"/>
    </row>
    <row r="2" spans="1:13" x14ac:dyDescent="0.25">
      <c r="A2" s="172" t="s">
        <v>182</v>
      </c>
      <c r="B2" s="172" t="s">
        <v>183</v>
      </c>
      <c r="C2" s="172" t="s">
        <v>184</v>
      </c>
      <c r="D2" s="172" t="s">
        <v>185</v>
      </c>
      <c r="E2" s="172" t="s">
        <v>186</v>
      </c>
      <c r="F2" s="172" t="s">
        <v>187</v>
      </c>
    </row>
    <row r="3" spans="1:13" ht="45" x14ac:dyDescent="0.25">
      <c r="A3" s="171" t="s">
        <v>192</v>
      </c>
      <c r="B3" s="171" t="s">
        <v>193</v>
      </c>
      <c r="C3" s="171" t="s">
        <v>198</v>
      </c>
      <c r="D3" s="171" t="s">
        <v>203</v>
      </c>
      <c r="E3" s="171" t="s">
        <v>205</v>
      </c>
      <c r="F3" s="171">
        <v>6</v>
      </c>
      <c r="I3" s="174" t="s">
        <v>206</v>
      </c>
      <c r="J3" s="174" t="s">
        <v>205</v>
      </c>
      <c r="K3" s="176">
        <v>4</v>
      </c>
      <c r="L3" s="173">
        <v>2</v>
      </c>
      <c r="M3" s="173">
        <v>1</v>
      </c>
    </row>
    <row r="4" spans="1:13" ht="30" x14ac:dyDescent="0.25">
      <c r="A4" s="171" t="s">
        <v>188</v>
      </c>
      <c r="B4" s="171" t="s">
        <v>194</v>
      </c>
      <c r="C4" s="171" t="s">
        <v>199</v>
      </c>
      <c r="D4" s="171" t="s">
        <v>204</v>
      </c>
      <c r="E4" s="171" t="s">
        <v>205</v>
      </c>
      <c r="F4" s="171">
        <v>7</v>
      </c>
      <c r="I4" s="174"/>
      <c r="J4" s="174" t="s">
        <v>204</v>
      </c>
      <c r="K4" s="175">
        <v>7</v>
      </c>
      <c r="L4" s="176">
        <v>5</v>
      </c>
      <c r="M4" s="173">
        <v>3</v>
      </c>
    </row>
    <row r="5" spans="1:13" ht="30" x14ac:dyDescent="0.25">
      <c r="A5" s="171" t="s">
        <v>189</v>
      </c>
      <c r="B5" s="171" t="s">
        <v>195</v>
      </c>
      <c r="C5" s="171" t="s">
        <v>200</v>
      </c>
      <c r="D5" s="171" t="s">
        <v>205</v>
      </c>
      <c r="E5" s="171" t="s">
        <v>203</v>
      </c>
      <c r="F5" s="171">
        <v>4</v>
      </c>
      <c r="I5" s="174"/>
      <c r="J5" s="174" t="s">
        <v>203</v>
      </c>
      <c r="K5" s="175">
        <v>9</v>
      </c>
      <c r="L5" s="175">
        <v>8</v>
      </c>
      <c r="M5" s="176">
        <v>6</v>
      </c>
    </row>
    <row r="6" spans="1:13" ht="60" x14ac:dyDescent="0.25">
      <c r="A6" s="171" t="s">
        <v>190</v>
      </c>
      <c r="B6" s="171" t="s">
        <v>196</v>
      </c>
      <c r="C6" s="171" t="s">
        <v>202</v>
      </c>
      <c r="D6" s="171" t="s">
        <v>204</v>
      </c>
      <c r="E6" s="171" t="s">
        <v>203</v>
      </c>
      <c r="F6" s="171">
        <v>7</v>
      </c>
      <c r="K6" s="174" t="s">
        <v>203</v>
      </c>
      <c r="L6" s="174" t="s">
        <v>204</v>
      </c>
      <c r="M6" s="174" t="s">
        <v>205</v>
      </c>
    </row>
    <row r="7" spans="1:13" ht="30" x14ac:dyDescent="0.25">
      <c r="A7" s="171" t="s">
        <v>191</v>
      </c>
      <c r="B7" s="171" t="s">
        <v>197</v>
      </c>
      <c r="C7" s="171" t="s">
        <v>201</v>
      </c>
      <c r="D7" s="171" t="s">
        <v>204</v>
      </c>
      <c r="E7" s="171" t="s">
        <v>204</v>
      </c>
      <c r="F7" s="171">
        <v>5</v>
      </c>
      <c r="K7" s="174" t="s">
        <v>186</v>
      </c>
      <c r="L7" s="174"/>
      <c r="M7" s="174"/>
    </row>
    <row r="10" spans="1:13" x14ac:dyDescent="0.25">
      <c r="A10" s="172" t="s">
        <v>218</v>
      </c>
      <c r="B10" s="172" t="s">
        <v>219</v>
      </c>
    </row>
    <row r="11" spans="1:13" x14ac:dyDescent="0.25">
      <c r="A11" s="179" t="s">
        <v>212</v>
      </c>
      <c r="B11" s="218">
        <f>165133.51</f>
        <v>165133.51</v>
      </c>
    </row>
    <row r="12" spans="1:13" x14ac:dyDescent="0.25">
      <c r="A12" s="179" t="s">
        <v>213</v>
      </c>
      <c r="B12" s="218">
        <f>165133.51</f>
        <v>165133.51</v>
      </c>
    </row>
    <row r="13" spans="1:13" x14ac:dyDescent="0.25">
      <c r="A13" s="179" t="s">
        <v>165</v>
      </c>
      <c r="B13" s="218">
        <f>165133.51</f>
        <v>165133.51</v>
      </c>
    </row>
    <row r="14" spans="1:13" x14ac:dyDescent="0.25">
      <c r="A14" s="179" t="s">
        <v>211</v>
      </c>
      <c r="B14" s="218">
        <v>91350.14</v>
      </c>
    </row>
    <row r="15" spans="1:13" x14ac:dyDescent="0.25">
      <c r="A15" s="179" t="s">
        <v>214</v>
      </c>
      <c r="B15" s="218">
        <f>85260.13</f>
        <v>85260.13</v>
      </c>
    </row>
    <row r="16" spans="1:13" x14ac:dyDescent="0.25">
      <c r="A16" s="179" t="s">
        <v>215</v>
      </c>
      <c r="B16" s="218">
        <v>88305.13</v>
      </c>
    </row>
    <row r="17" spans="1:2" x14ac:dyDescent="0.25">
      <c r="A17" s="179" t="s">
        <v>217</v>
      </c>
      <c r="B17" s="218">
        <v>62773.48</v>
      </c>
    </row>
    <row r="18" spans="1:2" x14ac:dyDescent="0.25">
      <c r="A18" s="179" t="s">
        <v>216</v>
      </c>
      <c r="B18" s="218">
        <v>60811.81</v>
      </c>
    </row>
    <row r="19" spans="1:2" x14ac:dyDescent="0.25">
      <c r="A19" s="179" t="s">
        <v>9</v>
      </c>
      <c r="B19" s="179">
        <f>SUM(B11,B18)</f>
        <v>225945.32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  <vt:lpstr>Riesgo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2017-11-15T03:26:47Z</dcterms:modified>
</cp:coreProperties>
</file>