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7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O83" i="7" l="1"/>
  <c r="N83" i="7"/>
  <c r="M83" i="7"/>
  <c r="L83" i="7"/>
  <c r="L84" i="7" s="1"/>
  <c r="K83" i="7"/>
  <c r="J83" i="7"/>
  <c r="I83" i="7"/>
  <c r="O73" i="7"/>
  <c r="N73" i="7"/>
  <c r="M73" i="7"/>
  <c r="M74" i="7" s="1"/>
  <c r="L73" i="7"/>
  <c r="K73" i="7"/>
  <c r="J73" i="7"/>
  <c r="I73" i="7"/>
  <c r="I74" i="7" s="1"/>
  <c r="O61" i="7"/>
  <c r="N61" i="7"/>
  <c r="M61" i="7"/>
  <c r="L61" i="7"/>
  <c r="K61" i="7"/>
  <c r="J61" i="7"/>
  <c r="I61" i="7"/>
  <c r="O51" i="7"/>
  <c r="N51" i="7"/>
  <c r="N52" i="7" s="1"/>
  <c r="M51" i="7"/>
  <c r="L51" i="7"/>
  <c r="L52" i="7" s="1"/>
  <c r="K51" i="7"/>
  <c r="J51" i="7"/>
  <c r="J52" i="7" s="1"/>
  <c r="I51" i="7"/>
  <c r="O41" i="7"/>
  <c r="N41" i="7"/>
  <c r="M41" i="7"/>
  <c r="M42" i="7" s="1"/>
  <c r="L41" i="7"/>
  <c r="L42" i="7" s="1"/>
  <c r="K41" i="7"/>
  <c r="J41" i="7"/>
  <c r="I41" i="7"/>
  <c r="I42" i="7" s="1"/>
  <c r="O29" i="7"/>
  <c r="N29" i="7"/>
  <c r="M29" i="7"/>
  <c r="M30" i="7" s="1"/>
  <c r="L29" i="7"/>
  <c r="L30" i="7" s="1"/>
  <c r="K29" i="7"/>
  <c r="J29" i="7"/>
  <c r="I29" i="7"/>
  <c r="I30" i="7" s="1"/>
  <c r="O20" i="7"/>
  <c r="N20" i="7"/>
  <c r="M20" i="7"/>
  <c r="L20" i="7"/>
  <c r="K20" i="7"/>
  <c r="J20" i="7"/>
  <c r="I20" i="7"/>
  <c r="I62" i="7"/>
  <c r="O62" i="7"/>
  <c r="N62" i="7"/>
  <c r="M62" i="7"/>
  <c r="L62" i="7"/>
  <c r="K62" i="7"/>
  <c r="J62" i="7"/>
  <c r="O52" i="7"/>
  <c r="M52" i="7"/>
  <c r="K52" i="7"/>
  <c r="I52" i="7"/>
  <c r="O42" i="7"/>
  <c r="N42" i="7"/>
  <c r="K42" i="7"/>
  <c r="J42" i="7"/>
  <c r="O21" i="7"/>
  <c r="N21" i="7"/>
  <c r="M21" i="7"/>
  <c r="L21" i="7"/>
  <c r="K21" i="7"/>
  <c r="J21" i="7"/>
  <c r="I21" i="7"/>
  <c r="O10" i="7"/>
  <c r="I10" i="7"/>
  <c r="I11" i="7" s="1"/>
  <c r="O84" i="7"/>
  <c r="N84" i="7"/>
  <c r="M84" i="7"/>
  <c r="K84" i="7"/>
  <c r="J84" i="7"/>
  <c r="I84" i="7"/>
  <c r="O74" i="7"/>
  <c r="N74" i="7"/>
  <c r="L74" i="7"/>
  <c r="K74" i="7"/>
  <c r="J74" i="7"/>
  <c r="O30" i="7"/>
  <c r="N30" i="7"/>
  <c r="K30" i="7"/>
  <c r="J30" i="7"/>
  <c r="O11" i="7"/>
  <c r="O49" i="7" l="1"/>
  <c r="I49" i="7"/>
  <c r="I50" i="7" s="1"/>
  <c r="O81" i="7"/>
  <c r="I81" i="7"/>
  <c r="I82" i="7" s="1"/>
  <c r="O71" i="7"/>
  <c r="I71" i="7"/>
  <c r="I72" i="7" s="1"/>
  <c r="O59" i="7"/>
  <c r="O60" i="7" s="1"/>
  <c r="I59" i="7"/>
  <c r="C58" i="7" s="1"/>
  <c r="C61" i="7" s="1"/>
  <c r="O39" i="7"/>
  <c r="O40" i="7" s="1"/>
  <c r="I39" i="7"/>
  <c r="C38" i="7" s="1"/>
  <c r="C41" i="7" s="1"/>
  <c r="O27" i="7"/>
  <c r="I27" i="7"/>
  <c r="I28" i="7" s="1"/>
  <c r="O18" i="7"/>
  <c r="I18" i="7"/>
  <c r="O8" i="7"/>
  <c r="I8" i="7"/>
  <c r="H83" i="7"/>
  <c r="G83" i="7"/>
  <c r="F83" i="7"/>
  <c r="E83" i="7"/>
  <c r="D83" i="7"/>
  <c r="O82" i="7"/>
  <c r="N82" i="7"/>
  <c r="M82" i="7"/>
  <c r="L82" i="7"/>
  <c r="K82" i="7"/>
  <c r="J82" i="7"/>
  <c r="H82" i="7"/>
  <c r="G82" i="7"/>
  <c r="F82" i="7"/>
  <c r="E82" i="7"/>
  <c r="D82" i="7"/>
  <c r="H73" i="7"/>
  <c r="G73" i="7"/>
  <c r="G74" i="7" s="1"/>
  <c r="F73" i="7"/>
  <c r="E73" i="7"/>
  <c r="D73" i="7"/>
  <c r="N72" i="7"/>
  <c r="M72" i="7"/>
  <c r="L72" i="7"/>
  <c r="K72" i="7"/>
  <c r="J72" i="7"/>
  <c r="H72" i="7"/>
  <c r="G72" i="7"/>
  <c r="F72" i="7"/>
  <c r="E72" i="7"/>
  <c r="D72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E62" i="7" s="1"/>
  <c r="D60" i="7"/>
  <c r="H51" i="7"/>
  <c r="G51" i="7"/>
  <c r="F51" i="7"/>
  <c r="E51" i="7"/>
  <c r="D51" i="7"/>
  <c r="O50" i="7"/>
  <c r="N50" i="7"/>
  <c r="M50" i="7"/>
  <c r="L50" i="7"/>
  <c r="K50" i="7"/>
  <c r="J50" i="7"/>
  <c r="H50" i="7"/>
  <c r="G50" i="7"/>
  <c r="G52" i="7" s="1"/>
  <c r="F50" i="7"/>
  <c r="F52" i="7" s="1"/>
  <c r="E50" i="7"/>
  <c r="E52" i="7" s="1"/>
  <c r="D50" i="7"/>
  <c r="C48" i="7"/>
  <c r="C51" i="7" s="1"/>
  <c r="H41" i="7"/>
  <c r="G41" i="7"/>
  <c r="F41" i="7"/>
  <c r="E41" i="7"/>
  <c r="D41" i="7"/>
  <c r="N40" i="7"/>
  <c r="M40" i="7"/>
  <c r="L40" i="7"/>
  <c r="K40" i="7"/>
  <c r="J40" i="7"/>
  <c r="H40" i="7"/>
  <c r="G40" i="7"/>
  <c r="F40" i="7"/>
  <c r="E40" i="7"/>
  <c r="D40" i="7"/>
  <c r="H29" i="7"/>
  <c r="G29" i="7"/>
  <c r="F29" i="7"/>
  <c r="E29" i="7"/>
  <c r="D29" i="7"/>
  <c r="O28" i="7"/>
  <c r="N28" i="7"/>
  <c r="M28" i="7"/>
  <c r="L28" i="7"/>
  <c r="K28" i="7"/>
  <c r="J28" i="7"/>
  <c r="H28" i="7"/>
  <c r="G28" i="7"/>
  <c r="G30" i="7" s="1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M19" i="7"/>
  <c r="L19" i="7"/>
  <c r="K19" i="7"/>
  <c r="J19" i="7"/>
  <c r="H19" i="7"/>
  <c r="H21" i="7" s="1"/>
  <c r="G19" i="7"/>
  <c r="F19" i="7"/>
  <c r="E19" i="7"/>
  <c r="D19" i="7"/>
  <c r="D21" i="7" s="1"/>
  <c r="D11" i="7"/>
  <c r="O9" i="7"/>
  <c r="I9" i="7"/>
  <c r="E9" i="7"/>
  <c r="F9" i="7"/>
  <c r="G9" i="7"/>
  <c r="H9" i="7"/>
  <c r="J9" i="7"/>
  <c r="J11" i="7" s="1"/>
  <c r="K9" i="7"/>
  <c r="K11" i="7" s="1"/>
  <c r="L9" i="7"/>
  <c r="M9" i="7"/>
  <c r="N9" i="7"/>
  <c r="N11" i="7" s="1"/>
  <c r="E10" i="7"/>
  <c r="E11" i="7" s="1"/>
  <c r="F10" i="7"/>
  <c r="G10" i="7"/>
  <c r="G11" i="7" s="1"/>
  <c r="H10" i="7"/>
  <c r="J10" i="7"/>
  <c r="K10" i="7"/>
  <c r="L10" i="7"/>
  <c r="M10" i="7"/>
  <c r="N10" i="7"/>
  <c r="D10" i="7"/>
  <c r="D9" i="7"/>
  <c r="C7" i="7"/>
  <c r="C9" i="7" s="1"/>
  <c r="F62" i="7" l="1"/>
  <c r="H84" i="7"/>
  <c r="C17" i="7"/>
  <c r="C20" i="7" s="1"/>
  <c r="M11" i="7"/>
  <c r="H11" i="7"/>
  <c r="F21" i="7"/>
  <c r="O19" i="7"/>
  <c r="D30" i="7"/>
  <c r="H30" i="7"/>
  <c r="F42" i="7"/>
  <c r="G62" i="7"/>
  <c r="F74" i="7"/>
  <c r="E84" i="7"/>
  <c r="C10" i="7"/>
  <c r="F11" i="7"/>
  <c r="L11" i="7"/>
  <c r="G21" i="7"/>
  <c r="G84" i="7"/>
  <c r="F84" i="7"/>
  <c r="C80" i="7"/>
  <c r="C82" i="7" s="1"/>
  <c r="D84" i="7"/>
  <c r="H74" i="7"/>
  <c r="E74" i="7"/>
  <c r="D74" i="7"/>
  <c r="G42" i="7"/>
  <c r="E42" i="7"/>
  <c r="I40" i="7"/>
  <c r="H62" i="7"/>
  <c r="D62" i="7"/>
  <c r="H52" i="7"/>
  <c r="D52" i="7"/>
  <c r="C83" i="7"/>
  <c r="C70" i="7"/>
  <c r="O72" i="7"/>
  <c r="I19" i="7"/>
  <c r="D91" i="7"/>
  <c r="H42" i="7"/>
  <c r="D42" i="7"/>
  <c r="C60" i="7"/>
  <c r="C50" i="7"/>
  <c r="C40" i="7"/>
  <c r="C28" i="7"/>
  <c r="C19" i="7"/>
  <c r="G8" i="1"/>
  <c r="H4" i="1"/>
  <c r="H5" i="1"/>
  <c r="H3" i="1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D94" i="7" l="1"/>
  <c r="C9" i="1" s="1"/>
  <c r="E91" i="7"/>
  <c r="C72" i="7"/>
  <c r="C73" i="7"/>
  <c r="J14" i="6"/>
  <c r="I6" i="6"/>
  <c r="J7" i="6"/>
  <c r="H12" i="6"/>
  <c r="I7" i="6"/>
  <c r="H14" i="6"/>
  <c r="F15" i="8"/>
  <c r="C18" i="6" s="1"/>
  <c r="D18" i="6" s="1"/>
  <c r="C8" i="5"/>
  <c r="B6" i="5"/>
  <c r="B11" i="5"/>
  <c r="B13" i="5"/>
  <c r="F91" i="7" l="1"/>
  <c r="F94" i="7" s="1"/>
  <c r="C33" i="1" s="1"/>
  <c r="C34" i="1" s="1"/>
  <c r="C35" i="1" s="1"/>
  <c r="E94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19" i="1" s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M3" i="2"/>
  <c r="D9" i="2"/>
  <c r="G31" i="1"/>
  <c r="G17" i="1"/>
  <c r="G16" i="1"/>
  <c r="G15" i="1"/>
  <c r="G20" i="1"/>
  <c r="E3" i="2"/>
  <c r="C3" i="2"/>
  <c r="E8" i="2"/>
  <c r="B28" i="2" s="1"/>
  <c r="D32" i="2" s="1"/>
  <c r="D33" i="2" s="1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L32" i="2" l="1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27" i="1"/>
  <c r="G32" i="1"/>
  <c r="E8" i="5" s="1"/>
  <c r="G29" i="1"/>
  <c r="G28" i="1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H3" i="2" l="1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E11" i="5" s="1"/>
  <c r="C11" i="5"/>
  <c r="C6" i="5"/>
  <c r="H9" i="2"/>
  <c r="F9" i="2"/>
  <c r="F11" i="2" s="1"/>
  <c r="D5" i="5" s="1"/>
  <c r="I10" i="5" s="1"/>
  <c r="B45" i="2" l="1"/>
  <c r="N44" i="2"/>
  <c r="N45" i="2" s="1"/>
  <c r="E24" i="3"/>
  <c r="C13" i="5"/>
  <c r="C15" i="5" s="1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<sst xmlns="http://schemas.openxmlformats.org/spreadsheetml/2006/main" count="408" uniqueCount="181">
  <si>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</si>
  <si>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</si>
  <si>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</si>
  <si>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</si>
  <si>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</si>
  <si>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</si>
  <si>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</si>
  <si>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</si>
  <si>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</si>
  <si>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</si>
  <si>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</si>
  <si>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</si>
  <si>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</si>
  <si>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</si>
  <si>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</si>
  <si>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</si>
  <si>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</si>
  <si>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</si>
  <si>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</si>
  <si>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</si>
  <si>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</si>
  <si>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</si>
  <si>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</si>
  <si>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</si>
  <si>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</si>
  <si>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</si>
  <si>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</si>
  <si>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</si>
  <si>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</si>
  <si>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</si>
  <si>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</si>
  <si>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</si>
  <si>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</si>
  <si>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</si>
  <si>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</si>
  <si>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</si>
  <si>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</si>
  <si>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</si>
  <si>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</si>
  <si>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</si>
  <si>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</si>
  <si>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</si>
  <si>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</si>
  <si>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</si>
  <si>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</si>
  <si>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</si>
  <si>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</si>
  <si>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</si>
  <si>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</si>
  <si>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</si>
  <si>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</si>
  <si>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</si>
  <si>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</si>
  <si>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</si>
  <si>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</si>
  <si>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</si>
  <si>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</si>
  <si>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</si>
  <si>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</si>
  <si>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</si>
  <si>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</si>
  <si>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</si>
  <si>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</si>
  <si>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</si>
  <si>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</si>
  <si>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</si>
  <si>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</si>
  <si>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</si>
  <si>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</si>
  <si>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</si>
  <si>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</si>
  <si>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</si>
  <si>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</si>
  <si>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</si>
  <si>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</si>
  <si>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</si>
  <si>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</si>
  <si>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</si>
  <si>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</si>
  <si>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</si>
  <si>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</si>
  <si>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</si>
  <si>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</si>
  <si>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</si>
  <si>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</si>
  <si>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</si>
  <si>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</si>
  <si>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</si>
  <si>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</si>
  <si>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</si>
  <si>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</si>
  <si>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</si>
  <si>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</si>
  <si>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</si>
  <si>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</si>
  <si>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</si>
  <si>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</si>
  <si>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</si>
  <si>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</si>
  <si>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</si>
  <si>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</si>
  <si>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</si>
  <si>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</si>
  <si>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</si>
  <si>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</si>
  <si>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Ingreso Promedio por Evento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</si>
  <si>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</si>
  <si>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</si>
  <si>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</si>
  <si>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</si>
  <si>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</si>
  <si>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</si>
  <si>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</si>
  <si>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</si>
  <si>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</si>
  <si>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</si>
  <si>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</si>
  <si>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</si>
  <si>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</si>
  <si>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Desarrollo EventosIT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</si>
  <si>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</si>
  <si>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</si>
  <si>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</si>
  <si>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</si>
  <si>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</si>
  <si>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</si>
  <si>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</si>
  <si>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</si>
  <si>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</si>
  <si>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</si>
  <si>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</si>
  <si>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</si>
  <si>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</si>
  <si>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</si>
  <si>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</si>
  <si>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</si>
  <si>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</si>
  <si>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</si>
  <si>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</si>
  <si>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</si>
  <si>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</si>
  <si>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</si>
  <si>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</si>
  <si>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</si>
  <si>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</si>
  <si>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</si>
  <si>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</si>
  <si>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</si>
  <si>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</si>
  <si>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</si>
  <si>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</si>
  <si>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</si>
  <si>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</si>
  <si>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</si>
  <si>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</si>
  <si>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</si>
  <si>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</si>
  <si>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</si>
  <si>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</si>
  <si>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</si>
  <si>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</si>
  <si>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</si>
  <si>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</si>
  <si>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Año 2. Se suman 3 recursos</t>
  </si>
  <si>
    <t>Año 3. Se suman 2 recursos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</si>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</sst>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0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633024"/>
        <c:axId val="157188672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1200000</c:v>
                </c:pt>
                <c:pt idx="1">
                  <c:v>2400000</c:v>
                </c:pt>
                <c:pt idx="2">
                  <c:v>4716000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1504"/>
        <c:axId val="157189248"/>
      </c:lineChart>
      <c:catAx>
        <c:axId val="1096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88672"/>
        <c:crosses val="autoZero"/>
        <c:auto val="1"/>
        <c:lblAlgn val="ctr"/>
        <c:lblOffset val="100"/>
        <c:noMultiLvlLbl val="0"/>
      </c:catAx>
      <c:valAx>
        <c:axId val="157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33024"/>
        <c:crosses val="autoZero"/>
        <c:crossBetween val="between"/>
      </c:valAx>
      <c:valAx>
        <c:axId val="157189248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781504"/>
        <c:crosses val="max"/>
        <c:crossBetween val="between"/>
      </c:valAx>
      <c:catAx>
        <c:axId val="109781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18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14.000000000000002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2192"/>
        <c:axId val="157191552"/>
      </c:lineChart>
      <c:catAx>
        <c:axId val="12903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91552"/>
        <c:crosses val="autoZero"/>
        <c:auto val="1"/>
        <c:lblAlgn val="ctr"/>
        <c:lblOffset val="100"/>
        <c:noMultiLvlLbl val="0"/>
      </c:catAx>
      <c:valAx>
        <c:axId val="157191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0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12</c:v>
                </c:pt>
                <c:pt idx="3">
                  <c:v>14.000000000000002</c:v>
                </c:pt>
                <c:pt idx="4">
                  <c:v>12</c:v>
                </c:pt>
                <c:pt idx="5">
                  <c:v>14.000000000000002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84608"/>
        <c:axId val="157194432"/>
      </c:lineChart>
      <c:catAx>
        <c:axId val="14208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94432"/>
        <c:crosses val="autoZero"/>
        <c:auto val="1"/>
        <c:lblAlgn val="ctr"/>
        <c:lblOffset val="100"/>
        <c:noMultiLvlLbl val="0"/>
      </c:catAx>
      <c:valAx>
        <c:axId val="157194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0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31.44</c:v>
                </c:pt>
                <c:pt idx="1">
                  <c:v>27.51</c:v>
                </c:pt>
                <c:pt idx="2">
                  <c:v>23.58</c:v>
                </c:pt>
                <c:pt idx="3">
                  <c:v>35.369999999999997</c:v>
                </c:pt>
                <c:pt idx="4">
                  <c:v>31.44</c:v>
                </c:pt>
                <c:pt idx="5">
                  <c:v>29.474999999999998</c:v>
                </c:pt>
                <c:pt idx="6">
                  <c:v>27.51</c:v>
                </c:pt>
                <c:pt idx="7">
                  <c:v>31.44</c:v>
                </c:pt>
                <c:pt idx="8">
                  <c:v>31.44</c:v>
                </c:pt>
                <c:pt idx="9">
                  <c:v>35.369999999999997</c:v>
                </c:pt>
                <c:pt idx="10">
                  <c:v>43.23</c:v>
                </c:pt>
                <c:pt idx="11">
                  <c:v>45.195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0160"/>
        <c:axId val="157722880"/>
      </c:lineChart>
      <c:catAx>
        <c:axId val="15702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722880"/>
        <c:crosses val="autoZero"/>
        <c:auto val="1"/>
        <c:lblAlgn val="ctr"/>
        <c:lblOffset val="100"/>
        <c:noMultiLvlLbl val="0"/>
      </c:catAx>
      <c:valAx>
        <c:axId val="15772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0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0464"/>
        <c:axId val="156770880"/>
      </c:lineChart>
      <c:catAx>
        <c:axId val="1096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770880"/>
        <c:crosses val="autoZero"/>
        <c:auto val="1"/>
        <c:lblAlgn val="ctr"/>
        <c:lblOffset val="100"/>
        <c:noMultiLvlLbl val="0"/>
      </c:catAx>
      <c:valAx>
        <c:axId val="156770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5" sqref="D5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172</v>
      </c>
      <c r="B5" s="24">
        <v>100</v>
      </c>
      <c r="C5" s="24">
        <v>200</v>
      </c>
      <c r="D5" s="24">
        <v>393</v>
      </c>
    </row>
    <row r="6" spans="1:5" ht="18.75" thickBot="1" x14ac:dyDescent="0.3">
      <c r="A6" s="74" t="s">
        <v>149</v>
      </c>
      <c r="B6" s="75">
        <f>E16*B5</f>
        <v>1200000</v>
      </c>
      <c r="C6" s="75">
        <f>E16*C5</f>
        <v>2400000</v>
      </c>
      <c r="D6" s="75">
        <f>E16*D5</f>
        <v>4716000</v>
      </c>
    </row>
    <row r="11" spans="1:5" ht="18" x14ac:dyDescent="0.25">
      <c r="D11" s="23" t="s">
        <v>105</v>
      </c>
    </row>
    <row r="12" spans="1:5" ht="15.75" thickBot="1" x14ac:dyDescent="0.3"/>
    <row r="13" spans="1:5" x14ac:dyDescent="0.25">
      <c r="D13" s="71" t="s">
        <v>174</v>
      </c>
    </row>
    <row r="14" spans="1:5" ht="15.75" thickBot="1" x14ac:dyDescent="0.3">
      <c r="D14" s="73" t="s">
        <v>176</v>
      </c>
    </row>
    <row r="15" spans="1:5" x14ac:dyDescent="0.25">
      <c r="E15" s="72" t="s">
        <v>175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A25" sqref="A25:C35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0" t="s">
        <v>97</v>
      </c>
      <c r="B1" s="171"/>
      <c r="C1" s="172"/>
      <c r="E1" s="170" t="s">
        <v>102</v>
      </c>
      <c r="F1" s="171"/>
      <c r="G1" s="172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145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5000</v>
      </c>
      <c r="H3" s="48">
        <f>G3/$G$7</f>
        <v>0.60240963855421692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0.18072289156626506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0.21686746987951808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/>
      <c r="F6" s="5"/>
      <c r="G6" s="9"/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8300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99600</v>
      </c>
    </row>
    <row r="9" spans="1:10" ht="15.75" thickBot="1" x14ac:dyDescent="0.3">
      <c r="A9" s="10" t="s">
        <v>8</v>
      </c>
      <c r="B9" s="11" t="s">
        <v>4</v>
      </c>
      <c r="C9" s="12">
        <f>Recursos!D94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0" t="s">
        <v>98</v>
      </c>
      <c r="B13" s="171"/>
      <c r="C13" s="172"/>
      <c r="E13" s="170" t="s">
        <v>103</v>
      </c>
      <c r="F13" s="171"/>
      <c r="G13" s="172"/>
      <c r="H13" s="49" t="s">
        <v>146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10000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/>
      <c r="F18" s="5"/>
      <c r="G18" s="9"/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16600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199200</v>
      </c>
    </row>
    <row r="21" spans="1:9" ht="15.75" thickBot="1" x14ac:dyDescent="0.3">
      <c r="A21" s="10" t="s">
        <v>8</v>
      </c>
      <c r="B21" s="11" t="s">
        <v>4</v>
      </c>
      <c r="C21" s="12">
        <f>Recursos!E94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0" t="s">
        <v>99</v>
      </c>
      <c r="B25" s="171"/>
      <c r="C25" s="172"/>
      <c r="E25" s="170" t="s">
        <v>104</v>
      </c>
      <c r="F25" s="171"/>
      <c r="G25" s="172"/>
      <c r="H25" s="49" t="s">
        <v>147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0.96499999999999997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19650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5895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7074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/>
      <c r="F30" s="5"/>
      <c r="G30" s="9"/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32619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391428</v>
      </c>
    </row>
    <row r="33" spans="1:3" ht="15.75" thickBot="1" x14ac:dyDescent="0.3">
      <c r="A33" s="10" t="s">
        <v>8</v>
      </c>
      <c r="B33" s="11" t="s">
        <v>4</v>
      </c>
      <c r="C33" s="12">
        <f>+Recursos!F94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1" zoomScale="70" zoomScaleNormal="70" workbookViewId="0">
      <selection activeCell="P44" sqref="P44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1.57031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3" t="s">
        <v>34</v>
      </c>
      <c r="D1" s="174"/>
      <c r="E1" s="173" t="s">
        <v>35</v>
      </c>
      <c r="F1" s="174"/>
      <c r="G1" s="173" t="s">
        <v>36</v>
      </c>
      <c r="H1" s="174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178</v>
      </c>
      <c r="C2" s="79">
        <f>'Mercado Meta'!B5/12</f>
        <v>8.3333333333333339</v>
      </c>
      <c r="D2" s="80"/>
      <c r="E2" s="79">
        <f>'Mercado Meta'!C5/12</f>
        <v>16.666666666666668</v>
      </c>
      <c r="F2" s="80"/>
      <c r="G2" s="79">
        <f>'Mercado Meta'!D5/12</f>
        <v>32.75</v>
      </c>
      <c r="H2" s="80"/>
      <c r="I2" s="81"/>
      <c r="J2" s="141" t="s">
        <v>23</v>
      </c>
      <c r="K2" s="83">
        <f>C2</f>
        <v>8.3333333333333339</v>
      </c>
      <c r="L2" s="83">
        <f>E2</f>
        <v>16.666666666666668</v>
      </c>
      <c r="M2" s="80">
        <f>G2</f>
        <v>32.75</v>
      </c>
    </row>
    <row r="3" spans="2:13" x14ac:dyDescent="0.3">
      <c r="B3" s="134" t="s">
        <v>17</v>
      </c>
      <c r="C3" s="84">
        <f>C2</f>
        <v>8.3333333333333339</v>
      </c>
      <c r="D3" s="85">
        <f>C3*$L$11</f>
        <v>100000</v>
      </c>
      <c r="E3" s="84">
        <f>E2</f>
        <v>16.666666666666668</v>
      </c>
      <c r="F3" s="85">
        <f>E3*$L$11</f>
        <v>200000</v>
      </c>
      <c r="G3" s="84">
        <f>G2</f>
        <v>32.75</v>
      </c>
      <c r="H3" s="85">
        <f>G3*$L$11</f>
        <v>393000</v>
      </c>
      <c r="I3" s="86"/>
      <c r="J3" s="140" t="s">
        <v>33</v>
      </c>
      <c r="K3" s="87"/>
      <c r="L3" s="88">
        <f>(L2-K2)/K2</f>
        <v>1</v>
      </c>
      <c r="M3" s="89">
        <f>(M2-L2)/L2</f>
        <v>0.96499999999999986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90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100000</v>
      </c>
      <c r="E5" s="93"/>
      <c r="F5" s="95">
        <f>F3+F4</f>
        <v>200000</v>
      </c>
      <c r="G5" s="93"/>
      <c r="H5" s="95">
        <f>H3+H4</f>
        <v>393000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75" t="s">
        <v>19</v>
      </c>
      <c r="D7" s="176"/>
      <c r="E7" s="175" t="s">
        <v>20</v>
      </c>
      <c r="F7" s="176"/>
      <c r="G7" s="175" t="s">
        <v>21</v>
      </c>
      <c r="H7" s="176"/>
      <c r="I7" s="78"/>
    </row>
    <row r="8" spans="2:13" x14ac:dyDescent="0.3">
      <c r="B8" s="133" t="s">
        <v>179</v>
      </c>
      <c r="C8" s="82">
        <f>'Mercado Meta'!B5</f>
        <v>100</v>
      </c>
      <c r="D8" s="99"/>
      <c r="E8" s="100">
        <f>(C8*L3)+C8</f>
        <v>200</v>
      </c>
      <c r="F8" s="99"/>
      <c r="G8" s="100">
        <f>(E8*M3)+E8</f>
        <v>393</v>
      </c>
      <c r="H8" s="99"/>
      <c r="I8" s="81"/>
    </row>
    <row r="9" spans="2:13" ht="19.5" thickBot="1" x14ac:dyDescent="0.35">
      <c r="B9" s="134" t="s">
        <v>18</v>
      </c>
      <c r="C9" s="84">
        <f>C8</f>
        <v>100</v>
      </c>
      <c r="D9" s="102">
        <f>C9*$K$4</f>
        <v>1200000</v>
      </c>
      <c r="E9" s="84">
        <f>E8</f>
        <v>200</v>
      </c>
      <c r="F9" s="102">
        <f>E9*$L$4</f>
        <v>2400000</v>
      </c>
      <c r="G9" s="84">
        <f>G8</f>
        <v>393</v>
      </c>
      <c r="H9" s="102">
        <f>G9*$M$4</f>
        <v>4716000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174</v>
      </c>
      <c r="L10" s="144" t="s">
        <v>175</v>
      </c>
    </row>
    <row r="11" spans="2:13" ht="19.5" thickBot="1" x14ac:dyDescent="0.35">
      <c r="B11" s="136" t="s">
        <v>18</v>
      </c>
      <c r="C11" s="94"/>
      <c r="D11" s="95">
        <f>D9+D10</f>
        <v>1200000</v>
      </c>
      <c r="E11" s="93"/>
      <c r="F11" s="95">
        <f>F9+F10</f>
        <v>2400000</v>
      </c>
      <c r="G11" s="93"/>
      <c r="H11" s="95">
        <f>H9+H10</f>
        <v>4716000</v>
      </c>
      <c r="I11" s="96"/>
      <c r="K11" s="143" t="s">
        <v>176</v>
      </c>
      <c r="L11" s="15">
        <v>12000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100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</v>
      </c>
      <c r="D21" s="105">
        <f t="shared" si="0"/>
        <v>2</v>
      </c>
      <c r="E21" s="105">
        <f t="shared" si="0"/>
        <v>4</v>
      </c>
      <c r="F21" s="105">
        <f t="shared" si="0"/>
        <v>5</v>
      </c>
      <c r="G21" s="105">
        <f t="shared" si="0"/>
        <v>8</v>
      </c>
      <c r="H21" s="105">
        <f t="shared" si="0"/>
        <v>12</v>
      </c>
      <c r="I21" s="105">
        <f t="shared" si="0"/>
        <v>10</v>
      </c>
      <c r="J21" s="105">
        <f t="shared" si="0"/>
        <v>14.000000000000002</v>
      </c>
      <c r="K21" s="105">
        <f t="shared" si="0"/>
        <v>13</v>
      </c>
      <c r="L21" s="105">
        <f t="shared" si="0"/>
        <v>16</v>
      </c>
      <c r="M21" s="105">
        <f t="shared" si="0"/>
        <v>15</v>
      </c>
      <c r="N21" s="105">
        <f>SUM(B21:M21)</f>
        <v>100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12000</v>
      </c>
      <c r="D22" s="101">
        <f t="shared" si="1"/>
        <v>24000</v>
      </c>
      <c r="E22" s="101">
        <f t="shared" si="1"/>
        <v>48000</v>
      </c>
      <c r="F22" s="101">
        <f t="shared" si="1"/>
        <v>60000</v>
      </c>
      <c r="G22" s="101">
        <f t="shared" si="1"/>
        <v>96000</v>
      </c>
      <c r="H22" s="101">
        <f t="shared" si="1"/>
        <v>144000</v>
      </c>
      <c r="I22" s="101">
        <f t="shared" si="1"/>
        <v>120000</v>
      </c>
      <c r="J22" s="101">
        <f t="shared" si="1"/>
        <v>168000.00000000003</v>
      </c>
      <c r="K22" s="101">
        <f t="shared" si="1"/>
        <v>156000</v>
      </c>
      <c r="L22" s="101">
        <f t="shared" si="1"/>
        <v>192000</v>
      </c>
      <c r="M22" s="101">
        <f t="shared" si="1"/>
        <v>180000</v>
      </c>
      <c r="N22" s="101">
        <f t="shared" si="1"/>
        <v>1200000</v>
      </c>
    </row>
    <row r="23" spans="1:14" x14ac:dyDescent="0.3">
      <c r="B23" s="76">
        <v>15</v>
      </c>
      <c r="C23" s="76">
        <v>15</v>
      </c>
      <c r="D23" s="76">
        <v>15</v>
      </c>
      <c r="E23" s="76">
        <v>15</v>
      </c>
      <c r="F23" s="76">
        <v>15</v>
      </c>
      <c r="G23" s="76">
        <v>15</v>
      </c>
      <c r="H23" s="76">
        <v>15</v>
      </c>
      <c r="I23" s="76">
        <v>15</v>
      </c>
      <c r="J23" s="76">
        <v>15</v>
      </c>
      <c r="K23" s="76">
        <v>15</v>
      </c>
      <c r="L23" s="76">
        <v>15</v>
      </c>
      <c r="M23" s="76">
        <v>15</v>
      </c>
    </row>
    <row r="28" spans="1:14" x14ac:dyDescent="0.3">
      <c r="B28" s="106">
        <f>E8</f>
        <v>200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16</v>
      </c>
      <c r="C32" s="105">
        <f t="shared" ref="C32:M32" si="2">$B$28*C30</f>
        <v>18</v>
      </c>
      <c r="D32" s="105">
        <f t="shared" si="2"/>
        <v>12</v>
      </c>
      <c r="E32" s="105">
        <f t="shared" si="2"/>
        <v>14.000000000000002</v>
      </c>
      <c r="F32" s="105">
        <f t="shared" si="2"/>
        <v>12</v>
      </c>
      <c r="G32" s="105">
        <f t="shared" si="2"/>
        <v>14.000000000000002</v>
      </c>
      <c r="H32" s="105">
        <f t="shared" si="2"/>
        <v>12</v>
      </c>
      <c r="I32" s="105">
        <f t="shared" si="2"/>
        <v>18</v>
      </c>
      <c r="J32" s="105">
        <f t="shared" si="2"/>
        <v>16</v>
      </c>
      <c r="K32" s="105">
        <f t="shared" si="2"/>
        <v>20</v>
      </c>
      <c r="L32" s="105">
        <f t="shared" si="2"/>
        <v>24</v>
      </c>
      <c r="M32" s="105">
        <f t="shared" si="2"/>
        <v>24</v>
      </c>
      <c r="N32" s="105">
        <f>SUM(B32:M32)</f>
        <v>200</v>
      </c>
    </row>
    <row r="33" spans="1:14" x14ac:dyDescent="0.3">
      <c r="A33" s="76" t="s">
        <v>79</v>
      </c>
      <c r="B33" s="101">
        <f t="shared" ref="B33:C33" si="3">IFERROR(B32*$L$11,0)</f>
        <v>192000</v>
      </c>
      <c r="C33" s="101">
        <f t="shared" si="3"/>
        <v>216000</v>
      </c>
      <c r="D33" s="101">
        <f t="shared" ref="D33" si="4">IFERROR(D32*$L$11,0)</f>
        <v>144000</v>
      </c>
      <c r="E33" s="101">
        <f t="shared" ref="E33" si="5">IFERROR(E32*$L$11,0)</f>
        <v>168000.00000000003</v>
      </c>
      <c r="F33" s="101">
        <f t="shared" ref="F33" si="6">IFERROR(F32*$L$11,0)</f>
        <v>144000</v>
      </c>
      <c r="G33" s="101">
        <f t="shared" ref="G33" si="7">IFERROR(G32*$L$11,0)</f>
        <v>168000.00000000003</v>
      </c>
      <c r="H33" s="101">
        <f t="shared" ref="H33" si="8">IFERROR(H32*$L$11,0)</f>
        <v>144000</v>
      </c>
      <c r="I33" s="101">
        <f t="shared" ref="I33" si="9">IFERROR(I32*$L$11,0)</f>
        <v>216000</v>
      </c>
      <c r="J33" s="101">
        <f t="shared" ref="J33" si="10">IFERROR(J32*$L$11,0)</f>
        <v>192000</v>
      </c>
      <c r="K33" s="101">
        <f t="shared" ref="K33" si="11">IFERROR(K32*$L$11,0)</f>
        <v>240000</v>
      </c>
      <c r="L33" s="101">
        <f t="shared" ref="L33" si="12">IFERROR(L32*$L$11,0)</f>
        <v>288000</v>
      </c>
      <c r="M33" s="101">
        <f t="shared" ref="M33" si="13">IFERROR(M32*$L$11,0)</f>
        <v>288000</v>
      </c>
      <c r="N33" s="101">
        <f t="shared" ref="N33" si="14">IFERROR(N32*$L$11,0)</f>
        <v>2400000</v>
      </c>
    </row>
    <row r="34" spans="1:14" x14ac:dyDescent="0.3">
      <c r="B34" s="76">
        <v>15</v>
      </c>
      <c r="C34" s="76">
        <v>15</v>
      </c>
      <c r="D34" s="76">
        <v>15</v>
      </c>
      <c r="E34" s="76">
        <v>15</v>
      </c>
      <c r="F34" s="76">
        <v>15</v>
      </c>
      <c r="G34" s="76">
        <v>15</v>
      </c>
      <c r="H34" s="76">
        <v>15</v>
      </c>
      <c r="I34" s="76">
        <v>15</v>
      </c>
      <c r="J34" s="76">
        <v>15</v>
      </c>
      <c r="K34" s="76">
        <v>15</v>
      </c>
      <c r="L34" s="76">
        <v>15</v>
      </c>
      <c r="M34" s="76">
        <v>15</v>
      </c>
    </row>
    <row r="40" spans="1:14" x14ac:dyDescent="0.3">
      <c r="B40" s="106">
        <f>G9</f>
        <v>393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31.44</v>
      </c>
      <c r="C44" s="105">
        <f t="shared" ref="C44:M44" si="15">$B$40*C42</f>
        <v>27.51</v>
      </c>
      <c r="D44" s="105">
        <f t="shared" si="15"/>
        <v>23.58</v>
      </c>
      <c r="E44" s="105">
        <f t="shared" si="15"/>
        <v>35.369999999999997</v>
      </c>
      <c r="F44" s="105">
        <f t="shared" si="15"/>
        <v>31.44</v>
      </c>
      <c r="G44" s="105">
        <f t="shared" si="15"/>
        <v>29.474999999999998</v>
      </c>
      <c r="H44" s="105">
        <f t="shared" si="15"/>
        <v>27.51</v>
      </c>
      <c r="I44" s="105">
        <f t="shared" si="15"/>
        <v>31.44</v>
      </c>
      <c r="J44" s="105">
        <f t="shared" si="15"/>
        <v>31.44</v>
      </c>
      <c r="K44" s="105">
        <f t="shared" si="15"/>
        <v>35.369999999999997</v>
      </c>
      <c r="L44" s="105">
        <f t="shared" si="15"/>
        <v>43.23</v>
      </c>
      <c r="M44" s="105">
        <f t="shared" si="15"/>
        <v>45.195</v>
      </c>
      <c r="N44" s="105">
        <f>SUM(B44:M44)</f>
        <v>393</v>
      </c>
    </row>
    <row r="45" spans="1:14" x14ac:dyDescent="0.3">
      <c r="A45" s="76" t="s">
        <v>79</v>
      </c>
      <c r="B45" s="101">
        <f t="shared" ref="B45:N45" si="16">IFERROR(B44*$L$11,0)</f>
        <v>377280</v>
      </c>
      <c r="C45" s="101">
        <f t="shared" si="16"/>
        <v>330120</v>
      </c>
      <c r="D45" s="101">
        <f t="shared" si="16"/>
        <v>282960</v>
      </c>
      <c r="E45" s="101">
        <f t="shared" si="16"/>
        <v>424439.99999999994</v>
      </c>
      <c r="F45" s="101">
        <f t="shared" si="16"/>
        <v>377280</v>
      </c>
      <c r="G45" s="101">
        <f t="shared" si="16"/>
        <v>353700</v>
      </c>
      <c r="H45" s="101">
        <f t="shared" si="16"/>
        <v>330120</v>
      </c>
      <c r="I45" s="101">
        <f t="shared" si="16"/>
        <v>377280</v>
      </c>
      <c r="J45" s="101">
        <f t="shared" si="16"/>
        <v>377280</v>
      </c>
      <c r="K45" s="101">
        <f t="shared" si="16"/>
        <v>424439.99999999994</v>
      </c>
      <c r="L45" s="101">
        <f t="shared" si="16"/>
        <v>518759.99999999994</v>
      </c>
      <c r="M45" s="101">
        <f t="shared" si="16"/>
        <v>542340</v>
      </c>
      <c r="N45" s="101">
        <f t="shared" si="16"/>
        <v>4716000</v>
      </c>
    </row>
    <row r="46" spans="1:14" x14ac:dyDescent="0.3">
      <c r="B46" s="76">
        <v>15</v>
      </c>
      <c r="C46" s="76">
        <v>15</v>
      </c>
      <c r="D46" s="76">
        <v>15</v>
      </c>
      <c r="E46" s="76">
        <v>15</v>
      </c>
      <c r="F46" s="76">
        <v>15</v>
      </c>
      <c r="G46" s="76">
        <v>15</v>
      </c>
      <c r="H46" s="76">
        <v>15</v>
      </c>
      <c r="I46" s="76">
        <v>15</v>
      </c>
      <c r="J46" s="76">
        <v>15</v>
      </c>
      <c r="K46" s="76">
        <v>15</v>
      </c>
      <c r="L46" s="76">
        <v>15</v>
      </c>
      <c r="M46" s="76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T32" sqref="T32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171</v>
      </c>
    </row>
    <row r="2" spans="1:12" ht="15.75" thickBot="1" x14ac:dyDescent="0.3"/>
    <row r="3" spans="1:12" x14ac:dyDescent="0.25">
      <c r="B3" s="183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4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4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4"/>
      <c r="C6" s="123" t="s">
        <v>11</v>
      </c>
      <c r="D6" s="124" t="s">
        <v>4</v>
      </c>
      <c r="E6" s="125">
        <v>1900</v>
      </c>
    </row>
    <row r="7" spans="1:12" x14ac:dyDescent="0.25">
      <c r="B7" s="184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4"/>
      <c r="C8" s="123" t="s">
        <v>6</v>
      </c>
      <c r="D8" s="124" t="s">
        <v>4</v>
      </c>
      <c r="E8" s="125">
        <v>600</v>
      </c>
      <c r="G8" s="37" t="s">
        <v>177</v>
      </c>
      <c r="H8" s="37">
        <v>12000</v>
      </c>
    </row>
    <row r="9" spans="1:12" x14ac:dyDescent="0.25">
      <c r="B9" s="184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85"/>
      <c r="C10" s="126" t="s">
        <v>8</v>
      </c>
      <c r="D10" s="127" t="s">
        <v>4</v>
      </c>
      <c r="E10" s="128">
        <v>130000</v>
      </c>
    </row>
    <row r="11" spans="1:12" x14ac:dyDescent="0.25">
      <c r="B11" s="183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4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85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86" t="s">
        <v>9</v>
      </c>
      <c r="D14" s="187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172</v>
      </c>
      <c r="C18" s="14" t="s">
        <v>25</v>
      </c>
      <c r="D18" s="14" t="s">
        <v>173</v>
      </c>
      <c r="E18" s="14" t="s">
        <v>26</v>
      </c>
      <c r="F18" s="14" t="s">
        <v>28</v>
      </c>
    </row>
    <row r="19" spans="1:6" x14ac:dyDescent="0.25">
      <c r="A19" s="180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12000</v>
      </c>
    </row>
    <row r="20" spans="1:6" x14ac:dyDescent="0.25">
      <c r="A20" s="181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24000</v>
      </c>
    </row>
    <row r="21" spans="1:6" x14ac:dyDescent="0.25">
      <c r="A21" s="181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36000</v>
      </c>
    </row>
    <row r="22" spans="1:6" x14ac:dyDescent="0.25">
      <c r="A22" s="181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48000</v>
      </c>
    </row>
    <row r="23" spans="1:6" x14ac:dyDescent="0.25">
      <c r="A23" s="181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60000</v>
      </c>
    </row>
    <row r="24" spans="1:6" x14ac:dyDescent="0.25">
      <c r="A24" s="181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72000</v>
      </c>
    </row>
    <row r="25" spans="1:6" x14ac:dyDescent="0.25">
      <c r="A25" s="181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84000</v>
      </c>
    </row>
    <row r="26" spans="1:6" x14ac:dyDescent="0.25">
      <c r="A26" s="181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96000</v>
      </c>
    </row>
    <row r="27" spans="1:6" x14ac:dyDescent="0.25">
      <c r="A27" s="181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108000</v>
      </c>
    </row>
    <row r="28" spans="1:6" x14ac:dyDescent="0.25">
      <c r="A28" s="181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120000</v>
      </c>
    </row>
    <row r="29" spans="1:6" x14ac:dyDescent="0.25">
      <c r="A29" s="181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132000</v>
      </c>
    </row>
    <row r="30" spans="1:6" x14ac:dyDescent="0.25">
      <c r="A30" s="181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144000</v>
      </c>
    </row>
    <row r="31" spans="1:6" ht="15" customHeight="1" x14ac:dyDescent="0.25">
      <c r="A31" s="181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156000</v>
      </c>
    </row>
    <row r="32" spans="1:6" x14ac:dyDescent="0.25">
      <c r="A32" s="182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168000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180000</v>
      </c>
    </row>
    <row r="34" spans="1:6" x14ac:dyDescent="0.25">
      <c r="A34" s="177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192000</v>
      </c>
    </row>
    <row r="35" spans="1:6" x14ac:dyDescent="0.25">
      <c r="A35" s="178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204000</v>
      </c>
    </row>
    <row r="36" spans="1:6" x14ac:dyDescent="0.25">
      <c r="A36" s="178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216000</v>
      </c>
    </row>
    <row r="37" spans="1:6" x14ac:dyDescent="0.25">
      <c r="A37" s="178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228000</v>
      </c>
    </row>
    <row r="38" spans="1:6" x14ac:dyDescent="0.25">
      <c r="A38" s="179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240000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Normal="100" workbookViewId="0">
      <selection activeCell="B24" sqref="A22:B24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106</v>
      </c>
      <c r="D2" s="54" t="s">
        <v>106</v>
      </c>
      <c r="E2" s="54" t="s">
        <v>106</v>
      </c>
      <c r="G2" s="153"/>
      <c r="H2" s="154" t="s">
        <v>106</v>
      </c>
      <c r="I2" s="154" t="s">
        <v>106</v>
      </c>
      <c r="J2" s="154" t="s">
        <v>106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169</v>
      </c>
      <c r="H4" s="157">
        <f>C15*-1</f>
        <v>-289527.61249999999</v>
      </c>
      <c r="I4" s="157">
        <f t="shared" ref="I4:J4" si="0">D15*-1</f>
        <v>-29127.612499999999</v>
      </c>
      <c r="J4" s="157">
        <f t="shared" si="0"/>
        <v>414816.58749999997</v>
      </c>
    </row>
    <row r="5" spans="1:10" x14ac:dyDescent="0.2">
      <c r="A5" s="56" t="s">
        <v>90</v>
      </c>
      <c r="B5" s="57">
        <v>0</v>
      </c>
      <c r="C5" s="58">
        <f>Mensual!D11</f>
        <v>1200000</v>
      </c>
      <c r="D5" s="58">
        <f>Mensual!F11</f>
        <v>2400000</v>
      </c>
      <c r="E5" s="58">
        <f>Mensual!H11</f>
        <v>4716000</v>
      </c>
    </row>
    <row r="6" spans="1:10" x14ac:dyDescent="0.2">
      <c r="A6" s="55"/>
      <c r="B6" s="59">
        <f>SUM(B5:B5)</f>
        <v>0</v>
      </c>
      <c r="C6" s="59">
        <f>Mensual!D11</f>
        <v>1200000</v>
      </c>
      <c r="D6" s="59">
        <f>Mensual!F11</f>
        <v>2400000</v>
      </c>
      <c r="E6" s="59">
        <f>Mensual!H11</f>
        <v>4716000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-99600</v>
      </c>
      <c r="D8" s="62">
        <f>-Costos!G20</f>
        <v>-199200</v>
      </c>
      <c r="E8" s="62">
        <f>-Costos!G32</f>
        <v>-391428</v>
      </c>
      <c r="G8" s="153"/>
      <c r="H8" s="158" t="s">
        <v>106</v>
      </c>
      <c r="I8" s="158" t="s">
        <v>106</v>
      </c>
      <c r="J8" s="158" t="s">
        <v>106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170</v>
      </c>
      <c r="H10" s="157">
        <f>C5*0.03</f>
        <v>36000</v>
      </c>
      <c r="I10" s="157">
        <f t="shared" ref="I10:J10" si="1">D5*0.03</f>
        <v>72000</v>
      </c>
      <c r="J10" s="157">
        <f t="shared" si="1"/>
        <v>141480</v>
      </c>
    </row>
    <row r="11" spans="1:10" x14ac:dyDescent="0.2">
      <c r="A11" s="55"/>
      <c r="B11" s="64">
        <f>SUM(B8:B10)</f>
        <v>0</v>
      </c>
      <c r="C11" s="64">
        <f>SUM(C8:C10)</f>
        <v>-2027221.75</v>
      </c>
      <c r="D11" s="64">
        <f>SUM(D8:D10)</f>
        <v>-2483221.75</v>
      </c>
      <c r="E11" s="64">
        <f>SUM(E8:E10)</f>
        <v>-3530809.75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+C6+C11</f>
        <v>-827221.75</v>
      </c>
      <c r="D13" s="66">
        <f>+D6+D11</f>
        <v>-83221.75</v>
      </c>
      <c r="E13" s="66">
        <f>+E6+E11</f>
        <v>1185190.25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-C13*0.35</f>
        <v>289527.61249999999</v>
      </c>
      <c r="D15" s="67">
        <f>-D13*0.35</f>
        <v>29127.612499999999</v>
      </c>
      <c r="E15" s="67">
        <f>-E13*0.35</f>
        <v>-414816.58749999997</v>
      </c>
    </row>
    <row r="16" spans="1:10" x14ac:dyDescent="0.2">
      <c r="A16" s="55"/>
      <c r="B16" s="55"/>
      <c r="C16" s="67"/>
      <c r="D16" s="67"/>
      <c r="E16" s="67"/>
    </row>
    <row r="17" spans="1:7" ht="13.5" thickBot="1" x14ac:dyDescent="0.25">
      <c r="A17" s="55" t="s">
        <v>86</v>
      </c>
      <c r="B17" s="55"/>
      <c r="C17" s="68">
        <f>C15+C13</f>
        <v>-537694.13749999995</v>
      </c>
      <c r="D17" s="68">
        <f>D15+D13</f>
        <v>-54094.137499999997</v>
      </c>
      <c r="E17" s="68">
        <f>E15+E13</f>
        <v>770373.66250000009</v>
      </c>
    </row>
    <row r="18" spans="1:7" ht="13.5" thickTop="1" x14ac:dyDescent="0.2">
      <c r="A18" s="55"/>
      <c r="B18" s="55"/>
      <c r="C18" s="69"/>
      <c r="D18" s="69"/>
      <c r="E18" s="69"/>
    </row>
    <row r="19" spans="1:7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7" ht="13.5" thickBot="1" x14ac:dyDescent="0.25">
      <c r="A20" s="55" t="s">
        <v>84</v>
      </c>
      <c r="B20" s="70">
        <f>-Inversion!D19</f>
        <v>-578134</v>
      </c>
      <c r="C20" s="68">
        <f>SUM(C17:C19)</f>
        <v>-392072.38749999995</v>
      </c>
      <c r="D20" s="68">
        <f>SUM(D17:D19)</f>
        <v>91527.612500000003</v>
      </c>
      <c r="E20" s="68">
        <f>SUM(E17:E19)</f>
        <v>915995.41250000009</v>
      </c>
    </row>
    <row r="21" spans="1:7" ht="14.25" thickTop="1" thickBot="1" x14ac:dyDescent="0.25">
      <c r="A21" s="55"/>
      <c r="B21" s="69"/>
      <c r="C21" s="69"/>
      <c r="D21" s="69"/>
      <c r="E21" s="69"/>
    </row>
    <row r="22" spans="1:7" ht="15.75" x14ac:dyDescent="0.25">
      <c r="A22" s="164" t="s">
        <v>83</v>
      </c>
      <c r="B22" s="167">
        <v>0.1885</v>
      </c>
      <c r="C22" s="67"/>
      <c r="D22" s="67"/>
      <c r="E22" s="67"/>
    </row>
    <row r="23" spans="1:7" ht="15.75" x14ac:dyDescent="0.25">
      <c r="A23" s="165" t="s">
        <v>82</v>
      </c>
      <c r="B23" s="168">
        <f>NPV(B22,C20,D20,E20)+B20</f>
        <v>-297598.73134106019</v>
      </c>
    </row>
    <row r="24" spans="1:7" ht="16.5" thickBot="1" x14ac:dyDescent="0.3">
      <c r="A24" s="166" t="s">
        <v>81</v>
      </c>
      <c r="B24" s="169">
        <f>IRR(B20:E20,30)</f>
        <v>1.5172959657832497E-2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4" sqref="A4:D19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140</v>
      </c>
      <c r="F1" s="148" t="s">
        <v>141</v>
      </c>
    </row>
    <row r="4" spans="1:10" x14ac:dyDescent="0.25">
      <c r="A4" s="147" t="s">
        <v>107</v>
      </c>
      <c r="B4" s="147" t="s">
        <v>80</v>
      </c>
      <c r="C4" s="147" t="s">
        <v>114</v>
      </c>
      <c r="D4" s="147" t="s">
        <v>9</v>
      </c>
      <c r="F4" s="147" t="s">
        <v>107</v>
      </c>
      <c r="G4" s="148" t="s">
        <v>141</v>
      </c>
      <c r="H4" s="189" t="s">
        <v>106</v>
      </c>
      <c r="I4" s="190"/>
      <c r="J4" s="191"/>
    </row>
    <row r="5" spans="1:10" x14ac:dyDescent="0.25">
      <c r="A5" s="147" t="s">
        <v>142</v>
      </c>
      <c r="B5" s="192"/>
      <c r="C5" s="193"/>
      <c r="D5" s="194"/>
      <c r="F5" s="147" t="s">
        <v>142</v>
      </c>
      <c r="G5" s="148" t="s">
        <v>148</v>
      </c>
      <c r="H5" s="39">
        <v>1</v>
      </c>
      <c r="I5" s="39">
        <v>2</v>
      </c>
      <c r="J5" s="39">
        <v>3</v>
      </c>
    </row>
    <row r="6" spans="1:10" x14ac:dyDescent="0.25">
      <c r="A6" s="14" t="s">
        <v>108</v>
      </c>
      <c r="B6" s="5">
        <v>3</v>
      </c>
      <c r="C6" s="34">
        <v>12000</v>
      </c>
      <c r="D6" s="36">
        <f>C6*B6</f>
        <v>36000</v>
      </c>
      <c r="F6" s="14" t="s">
        <v>108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109</v>
      </c>
      <c r="B7" s="5">
        <v>10</v>
      </c>
      <c r="C7" s="34">
        <v>3000</v>
      </c>
      <c r="D7" s="36">
        <f t="shared" ref="D7:D18" si="0">C7*B7</f>
        <v>30000</v>
      </c>
      <c r="F7" s="14" t="s">
        <v>109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115</v>
      </c>
      <c r="B8" s="5">
        <v>2</v>
      </c>
      <c r="C8" s="34">
        <v>8000</v>
      </c>
      <c r="D8" s="36">
        <f t="shared" si="0"/>
        <v>16000</v>
      </c>
      <c r="F8" s="14" t="s">
        <v>115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111</v>
      </c>
      <c r="B9" s="5">
        <v>3</v>
      </c>
      <c r="C9" s="34">
        <v>15000</v>
      </c>
      <c r="D9" s="36">
        <f t="shared" ref="D9" si="1">C9*B9</f>
        <v>45000</v>
      </c>
      <c r="F9" s="14" t="s">
        <v>111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143</v>
      </c>
      <c r="B10" s="195"/>
      <c r="C10" s="196"/>
      <c r="D10" s="197"/>
      <c r="F10" s="149" t="s">
        <v>143</v>
      </c>
      <c r="G10" s="148" t="s">
        <v>148</v>
      </c>
      <c r="H10" s="198"/>
      <c r="I10" s="199"/>
      <c r="J10" s="200"/>
    </row>
    <row r="11" spans="1:10" x14ac:dyDescent="0.25">
      <c r="A11" s="14" t="s">
        <v>112</v>
      </c>
      <c r="B11" s="5">
        <v>5</v>
      </c>
      <c r="C11" s="34">
        <v>30000</v>
      </c>
      <c r="D11" s="36">
        <f t="shared" si="0"/>
        <v>150000</v>
      </c>
      <c r="F11" s="14" t="s">
        <v>112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110</v>
      </c>
      <c r="B12" s="5">
        <v>1</v>
      </c>
      <c r="C12" s="34">
        <v>5000</v>
      </c>
      <c r="D12" s="36">
        <f t="shared" si="0"/>
        <v>5000</v>
      </c>
      <c r="F12" s="14" t="s">
        <v>110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113</v>
      </c>
      <c r="B13" s="195"/>
      <c r="C13" s="196"/>
      <c r="D13" s="197"/>
      <c r="F13" s="149" t="s">
        <v>113</v>
      </c>
      <c r="G13" s="148" t="s">
        <v>148</v>
      </c>
      <c r="H13" s="198"/>
      <c r="I13" s="199"/>
      <c r="J13" s="200"/>
    </row>
    <row r="14" spans="1:10" x14ac:dyDescent="0.25">
      <c r="A14" s="14" t="s">
        <v>116</v>
      </c>
      <c r="B14" s="5">
        <v>2</v>
      </c>
      <c r="C14" s="34">
        <v>15880</v>
      </c>
      <c r="D14" s="36">
        <f t="shared" si="0"/>
        <v>31760</v>
      </c>
      <c r="F14" s="14" t="s">
        <v>116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117</v>
      </c>
      <c r="B15" s="5">
        <v>2</v>
      </c>
      <c r="C15" s="34">
        <v>20283</v>
      </c>
      <c r="D15" s="36">
        <f t="shared" si="0"/>
        <v>40566</v>
      </c>
      <c r="F15" s="14" t="s">
        <v>117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118</v>
      </c>
      <c r="B16" s="5">
        <v>1</v>
      </c>
      <c r="C16" s="34">
        <v>14333</v>
      </c>
      <c r="D16" s="36">
        <f t="shared" si="0"/>
        <v>14333</v>
      </c>
      <c r="F16" s="14" t="s">
        <v>118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144</v>
      </c>
      <c r="B17" s="195"/>
      <c r="C17" s="196"/>
      <c r="D17" s="197"/>
      <c r="F17" s="149" t="s">
        <v>144</v>
      </c>
      <c r="G17" s="148" t="s">
        <v>148</v>
      </c>
      <c r="H17" s="198"/>
      <c r="I17" s="199"/>
      <c r="J17" s="200"/>
    </row>
    <row r="18" spans="1:10" x14ac:dyDescent="0.25">
      <c r="A18" s="14" t="s">
        <v>119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119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88" t="s">
        <v>140</v>
      </c>
      <c r="B19" s="188"/>
      <c r="C19" s="188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3" spans="1:10" x14ac:dyDescent="0.25">
      <c r="A23" t="s">
        <v>39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180</v>
      </c>
    </row>
    <row r="3" spans="1:9" x14ac:dyDescent="0.25">
      <c r="A3" s="150" t="s">
        <v>125</v>
      </c>
      <c r="B3" s="149" t="s">
        <v>132</v>
      </c>
      <c r="C3" s="149" t="s">
        <v>133</v>
      </c>
      <c r="D3" s="149" t="s">
        <v>134</v>
      </c>
      <c r="E3" s="120"/>
      <c r="F3" s="149" t="s">
        <v>137</v>
      </c>
      <c r="H3" s="27" t="s">
        <v>168</v>
      </c>
    </row>
    <row r="4" spans="1:9" x14ac:dyDescent="0.25">
      <c r="A4" s="37" t="s">
        <v>120</v>
      </c>
      <c r="B4" s="14">
        <v>20</v>
      </c>
      <c r="C4" s="14">
        <v>50</v>
      </c>
      <c r="D4" s="14">
        <v>285</v>
      </c>
      <c r="E4" s="14" t="s">
        <v>136</v>
      </c>
      <c r="F4" s="36">
        <f>D4*C4</f>
        <v>14250</v>
      </c>
      <c r="H4" s="149" t="s">
        <v>139</v>
      </c>
      <c r="I4" s="149" t="s">
        <v>138</v>
      </c>
    </row>
    <row r="5" spans="1:9" x14ac:dyDescent="0.25">
      <c r="A5" s="37" t="s">
        <v>121</v>
      </c>
      <c r="B5" s="14">
        <v>20</v>
      </c>
      <c r="C5" s="14">
        <v>50</v>
      </c>
      <c r="D5" s="14">
        <v>285</v>
      </c>
      <c r="E5" s="14" t="s">
        <v>136</v>
      </c>
      <c r="F5" s="36">
        <f t="shared" ref="F5:F14" si="0">D5*C5</f>
        <v>14250</v>
      </c>
      <c r="H5" s="149" t="s">
        <v>136</v>
      </c>
      <c r="I5" s="36">
        <v>285</v>
      </c>
    </row>
    <row r="6" spans="1:9" x14ac:dyDescent="0.25">
      <c r="A6" s="37" t="s">
        <v>122</v>
      </c>
      <c r="B6" s="14">
        <v>20</v>
      </c>
      <c r="C6" s="14">
        <v>50</v>
      </c>
      <c r="D6" s="14">
        <v>285</v>
      </c>
      <c r="E6" s="14" t="s">
        <v>136</v>
      </c>
      <c r="F6" s="36">
        <f t="shared" si="0"/>
        <v>14250</v>
      </c>
      <c r="H6" s="149" t="s">
        <v>131</v>
      </c>
      <c r="I6" s="36">
        <v>270</v>
      </c>
    </row>
    <row r="7" spans="1:9" x14ac:dyDescent="0.25">
      <c r="A7" s="37" t="s">
        <v>123</v>
      </c>
      <c r="B7" s="14">
        <v>15</v>
      </c>
      <c r="C7" s="14">
        <v>50</v>
      </c>
      <c r="D7" s="14">
        <v>285</v>
      </c>
      <c r="E7" s="14" t="s">
        <v>136</v>
      </c>
      <c r="F7" s="36">
        <f t="shared" si="0"/>
        <v>14250</v>
      </c>
      <c r="H7" s="149" t="s">
        <v>135</v>
      </c>
      <c r="I7" s="36">
        <v>300</v>
      </c>
    </row>
    <row r="8" spans="1:9" x14ac:dyDescent="0.25">
      <c r="A8" s="37" t="s">
        <v>124</v>
      </c>
      <c r="B8" s="14">
        <v>18</v>
      </c>
      <c r="C8" s="14">
        <v>35</v>
      </c>
      <c r="D8" s="14">
        <v>285</v>
      </c>
      <c r="E8" s="14" t="s">
        <v>136</v>
      </c>
      <c r="F8" s="36">
        <f t="shared" si="0"/>
        <v>9975</v>
      </c>
    </row>
    <row r="9" spans="1:9" x14ac:dyDescent="0.25">
      <c r="A9" s="150" t="s">
        <v>126</v>
      </c>
      <c r="B9" s="149" t="s">
        <v>132</v>
      </c>
      <c r="C9" s="149" t="s">
        <v>133</v>
      </c>
      <c r="D9" s="149" t="s">
        <v>134</v>
      </c>
      <c r="E9" s="120"/>
      <c r="F9" s="149" t="s">
        <v>137</v>
      </c>
    </row>
    <row r="10" spans="1:9" x14ac:dyDescent="0.25">
      <c r="A10" s="37" t="s">
        <v>127</v>
      </c>
      <c r="B10" s="14">
        <v>2</v>
      </c>
      <c r="C10" s="14">
        <v>18</v>
      </c>
      <c r="D10" s="14">
        <v>300</v>
      </c>
      <c r="E10" s="14" t="s">
        <v>135</v>
      </c>
      <c r="F10" s="36">
        <f t="shared" si="0"/>
        <v>5400</v>
      </c>
    </row>
    <row r="11" spans="1:9" x14ac:dyDescent="0.25">
      <c r="A11" s="37" t="s">
        <v>128</v>
      </c>
      <c r="B11" s="14">
        <v>18</v>
      </c>
      <c r="C11" s="14">
        <v>15</v>
      </c>
      <c r="D11" s="14">
        <v>300</v>
      </c>
      <c r="E11" s="14" t="s">
        <v>135</v>
      </c>
      <c r="F11" s="36">
        <f t="shared" si="0"/>
        <v>4500</v>
      </c>
    </row>
    <row r="12" spans="1:9" x14ac:dyDescent="0.25">
      <c r="A12" s="37" t="s">
        <v>129</v>
      </c>
      <c r="B12" s="14">
        <v>18</v>
      </c>
      <c r="C12" s="14">
        <v>15</v>
      </c>
      <c r="D12" s="14">
        <v>300</v>
      </c>
      <c r="E12" s="14" t="s">
        <v>135</v>
      </c>
      <c r="F12" s="36">
        <f t="shared" si="0"/>
        <v>4500</v>
      </c>
    </row>
    <row r="13" spans="1:9" x14ac:dyDescent="0.25">
      <c r="A13" s="37" t="s">
        <v>130</v>
      </c>
      <c r="B13" s="14">
        <v>50</v>
      </c>
      <c r="C13" s="14">
        <v>400</v>
      </c>
      <c r="D13" s="14">
        <v>300</v>
      </c>
      <c r="E13" s="14" t="s">
        <v>135</v>
      </c>
      <c r="F13" s="36">
        <f t="shared" si="0"/>
        <v>120000</v>
      </c>
    </row>
    <row r="14" spans="1:9" x14ac:dyDescent="0.25">
      <c r="A14" s="37" t="s">
        <v>131</v>
      </c>
      <c r="B14" s="14">
        <v>5</v>
      </c>
      <c r="C14" s="14">
        <v>30</v>
      </c>
      <c r="D14" s="14">
        <v>270</v>
      </c>
      <c r="E14" s="14" t="s">
        <v>131</v>
      </c>
      <c r="F14" s="36">
        <f t="shared" si="0"/>
        <v>8100</v>
      </c>
    </row>
    <row r="15" spans="1:9" ht="21" x14ac:dyDescent="0.35">
      <c r="A15" s="201" t="s">
        <v>9</v>
      </c>
      <c r="B15" s="201"/>
      <c r="C15" s="201"/>
      <c r="D15" s="201"/>
      <c r="E15" s="201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showGridLines="0" tabSelected="1" topLeftCell="A57" zoomScale="70" zoomScaleNormal="70" workbookViewId="0">
      <selection activeCell="A44" sqref="A44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165</v>
      </c>
      <c r="B5" s="145"/>
      <c r="C5" s="145"/>
      <c r="D5" s="202" t="s">
        <v>153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</row>
    <row r="6" spans="1:15" x14ac:dyDescent="0.3">
      <c r="C6" s="76" t="s">
        <v>156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154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150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151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152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155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166</v>
      </c>
      <c r="B15" s="145"/>
      <c r="C15" s="145"/>
      <c r="D15" s="202" t="s">
        <v>153</v>
      </c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</row>
    <row r="16" spans="1:15" x14ac:dyDescent="0.3">
      <c r="A16" s="145"/>
      <c r="B16" s="145"/>
      <c r="C16" s="145" t="s">
        <v>156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154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150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151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152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155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167</v>
      </c>
      <c r="B24" s="145"/>
      <c r="C24" s="145"/>
      <c r="D24" s="202" t="s">
        <v>153</v>
      </c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</row>
    <row r="25" spans="1:15" x14ac:dyDescent="0.3">
      <c r="A25" s="145"/>
      <c r="B25" s="145"/>
      <c r="C25" s="145" t="s">
        <v>156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154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150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151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152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155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4" spans="1:15" x14ac:dyDescent="0.3">
      <c r="A34" s="161" t="s">
        <v>163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spans="1:15" x14ac:dyDescent="0.3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5" x14ac:dyDescent="0.3">
      <c r="A36" s="160" t="s">
        <v>158</v>
      </c>
      <c r="B36" s="160"/>
      <c r="C36" s="145"/>
      <c r="D36" s="202" t="s">
        <v>153</v>
      </c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</row>
    <row r="37" spans="1:15" x14ac:dyDescent="0.3">
      <c r="C37" s="76" t="s">
        <v>156</v>
      </c>
      <c r="D37" s="87">
        <v>1</v>
      </c>
      <c r="E37" s="87">
        <v>2</v>
      </c>
      <c r="F37" s="87">
        <v>3</v>
      </c>
      <c r="G37" s="87">
        <v>4</v>
      </c>
      <c r="H37" s="87">
        <v>5</v>
      </c>
      <c r="I37" s="87">
        <v>6</v>
      </c>
      <c r="J37" s="87">
        <v>7</v>
      </c>
      <c r="K37" s="87">
        <v>8</v>
      </c>
      <c r="L37" s="87">
        <v>9</v>
      </c>
      <c r="M37" s="87">
        <v>10</v>
      </c>
      <c r="N37" s="87">
        <v>11</v>
      </c>
      <c r="O37" s="87">
        <v>12</v>
      </c>
    </row>
    <row r="38" spans="1:15" x14ac:dyDescent="0.3">
      <c r="A38" s="87"/>
      <c r="B38" s="87" t="s">
        <v>154</v>
      </c>
      <c r="C38" s="107">
        <f>SUM(D38:O39)</f>
        <v>364000</v>
      </c>
      <c r="D38" s="92">
        <v>28000</v>
      </c>
      <c r="E38" s="92">
        <v>28000</v>
      </c>
      <c r="F38" s="92">
        <v>28000</v>
      </c>
      <c r="G38" s="92">
        <v>28000</v>
      </c>
      <c r="H38" s="92">
        <v>28000</v>
      </c>
      <c r="I38" s="92">
        <v>28000</v>
      </c>
      <c r="J38" s="92">
        <v>28000</v>
      </c>
      <c r="K38" s="92">
        <v>28000</v>
      </c>
      <c r="L38" s="92">
        <v>28000</v>
      </c>
      <c r="M38" s="92">
        <v>28000</v>
      </c>
      <c r="N38" s="92">
        <v>28000</v>
      </c>
      <c r="O38" s="92">
        <v>28000</v>
      </c>
    </row>
    <row r="39" spans="1:15" x14ac:dyDescent="0.3">
      <c r="A39" s="87" t="s">
        <v>150</v>
      </c>
      <c r="B39" s="87"/>
      <c r="C39" s="87"/>
      <c r="D39" s="87"/>
      <c r="E39" s="87"/>
      <c r="F39" s="87"/>
      <c r="G39" s="87"/>
      <c r="H39" s="87"/>
      <c r="I39" s="92">
        <f>I38/2</f>
        <v>14000</v>
      </c>
      <c r="J39" s="87"/>
      <c r="K39" s="87"/>
      <c r="L39" s="87"/>
      <c r="M39" s="87"/>
      <c r="N39" s="87"/>
      <c r="O39" s="92">
        <f>O38/2</f>
        <v>14000</v>
      </c>
    </row>
    <row r="40" spans="1:15" x14ac:dyDescent="0.3">
      <c r="A40" s="87" t="s">
        <v>151</v>
      </c>
      <c r="B40" s="104">
        <v>0.17</v>
      </c>
      <c r="C40" s="92">
        <f t="shared" ref="C40:H40" si="19">C38*$B$9</f>
        <v>61880.000000000007</v>
      </c>
      <c r="D40" s="92">
        <f t="shared" si="19"/>
        <v>4760</v>
      </c>
      <c r="E40" s="92">
        <f t="shared" si="19"/>
        <v>4760</v>
      </c>
      <c r="F40" s="92">
        <f t="shared" si="19"/>
        <v>4760</v>
      </c>
      <c r="G40" s="92">
        <f t="shared" si="19"/>
        <v>4760</v>
      </c>
      <c r="H40" s="92">
        <f t="shared" si="19"/>
        <v>4760</v>
      </c>
      <c r="I40" s="92">
        <f>(I38+I39)*$B$9</f>
        <v>7140.0000000000009</v>
      </c>
      <c r="J40" s="92">
        <f>J38*$B$9</f>
        <v>4760</v>
      </c>
      <c r="K40" s="92">
        <f>K38*$B$9</f>
        <v>4760</v>
      </c>
      <c r="L40" s="92">
        <f>L38*$B$9</f>
        <v>4760</v>
      </c>
      <c r="M40" s="92">
        <f>M38*$B$9</f>
        <v>4760</v>
      </c>
      <c r="N40" s="92">
        <f>N38*$B$9</f>
        <v>4760</v>
      </c>
      <c r="O40" s="92">
        <f>(O38+O39)*$B$9</f>
        <v>7140.0000000000009</v>
      </c>
    </row>
    <row r="41" spans="1:15" x14ac:dyDescent="0.3">
      <c r="A41" s="87" t="s">
        <v>152</v>
      </c>
      <c r="B41" s="104">
        <v>0.06</v>
      </c>
      <c r="C41" s="92">
        <f t="shared" ref="C41:H41" si="20">C38*$B$10</f>
        <v>21840</v>
      </c>
      <c r="D41" s="92">
        <f t="shared" si="20"/>
        <v>1680</v>
      </c>
      <c r="E41" s="92">
        <f t="shared" si="20"/>
        <v>1680</v>
      </c>
      <c r="F41" s="92">
        <f t="shared" si="20"/>
        <v>1680</v>
      </c>
      <c r="G41" s="92">
        <f t="shared" si="20"/>
        <v>1680</v>
      </c>
      <c r="H41" s="92">
        <f t="shared" si="20"/>
        <v>1680</v>
      </c>
      <c r="I41" s="92">
        <f>(I38+I39)*$B$10</f>
        <v>2520</v>
      </c>
      <c r="J41" s="92">
        <f>J38*$B$10</f>
        <v>1680</v>
      </c>
      <c r="K41" s="92">
        <f>K38*$B$10</f>
        <v>1680</v>
      </c>
      <c r="L41" s="92">
        <f>L38*$B$10</f>
        <v>1680</v>
      </c>
      <c r="M41" s="92">
        <f>M38*$B$10</f>
        <v>1680</v>
      </c>
      <c r="N41" s="92">
        <f>N38*$B$10</f>
        <v>1680</v>
      </c>
      <c r="O41" s="92">
        <f>(O38+O39)*$B$10</f>
        <v>2520</v>
      </c>
    </row>
    <row r="42" spans="1:15" x14ac:dyDescent="0.3">
      <c r="C42" s="77" t="s">
        <v>155</v>
      </c>
      <c r="D42" s="108">
        <f>D38-D40-D41</f>
        <v>21560</v>
      </c>
      <c r="E42" s="108">
        <f t="shared" ref="E42" si="21">E38-E40-E41</f>
        <v>21560</v>
      </c>
      <c r="F42" s="108">
        <f t="shared" ref="F42" si="22">F38-F40-F41</f>
        <v>21560</v>
      </c>
      <c r="G42" s="108">
        <f t="shared" ref="G42" si="23">G38-G40-G41</f>
        <v>21560</v>
      </c>
      <c r="H42" s="108">
        <f t="shared" ref="H42" si="24">H38-H40-H41</f>
        <v>21560</v>
      </c>
      <c r="I42" s="108">
        <f>I38+I39-I40-I41</f>
        <v>32340</v>
      </c>
      <c r="J42" s="108">
        <f t="shared" ref="J42:N42" si="25">J38-J40-J41</f>
        <v>21560</v>
      </c>
      <c r="K42" s="108">
        <f t="shared" si="25"/>
        <v>21560</v>
      </c>
      <c r="L42" s="108">
        <f t="shared" si="25"/>
        <v>21560</v>
      </c>
      <c r="M42" s="108">
        <f t="shared" si="25"/>
        <v>21560</v>
      </c>
      <c r="N42" s="108">
        <f t="shared" si="25"/>
        <v>21560</v>
      </c>
      <c r="O42" s="108">
        <f>O38+O39-O40-O41</f>
        <v>32340</v>
      </c>
    </row>
    <row r="46" spans="1:15" x14ac:dyDescent="0.3">
      <c r="A46" s="160" t="s">
        <v>159</v>
      </c>
      <c r="B46" s="145"/>
      <c r="C46" s="145"/>
      <c r="D46" s="202" t="s">
        <v>153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</row>
    <row r="47" spans="1:15" x14ac:dyDescent="0.3">
      <c r="A47" s="145"/>
      <c r="B47" s="145"/>
      <c r="C47" s="145" t="s">
        <v>156</v>
      </c>
      <c r="D47" s="146">
        <v>1</v>
      </c>
      <c r="E47" s="146">
        <v>2</v>
      </c>
      <c r="F47" s="146">
        <v>3</v>
      </c>
      <c r="G47" s="146">
        <v>4</v>
      </c>
      <c r="H47" s="146">
        <v>5</v>
      </c>
      <c r="I47" s="146">
        <v>6</v>
      </c>
      <c r="J47" s="146">
        <v>7</v>
      </c>
      <c r="K47" s="146">
        <v>8</v>
      </c>
      <c r="L47" s="146">
        <v>9</v>
      </c>
      <c r="M47" s="146">
        <v>10</v>
      </c>
      <c r="N47" s="146">
        <v>11</v>
      </c>
      <c r="O47" s="146">
        <v>12</v>
      </c>
    </row>
    <row r="48" spans="1:15" x14ac:dyDescent="0.3">
      <c r="A48" s="87"/>
      <c r="B48" s="87" t="s">
        <v>154</v>
      </c>
      <c r="C48" s="107">
        <f>SUM(D48:O49)</f>
        <v>390000</v>
      </c>
      <c r="D48" s="92">
        <v>30000</v>
      </c>
      <c r="E48" s="92">
        <v>30000</v>
      </c>
      <c r="F48" s="92">
        <v>30000</v>
      </c>
      <c r="G48" s="92">
        <v>30000</v>
      </c>
      <c r="H48" s="92">
        <v>30000</v>
      </c>
      <c r="I48" s="92">
        <v>30000</v>
      </c>
      <c r="J48" s="92">
        <v>30000</v>
      </c>
      <c r="K48" s="92">
        <v>30000</v>
      </c>
      <c r="L48" s="92">
        <v>30000</v>
      </c>
      <c r="M48" s="92">
        <v>30000</v>
      </c>
      <c r="N48" s="92">
        <v>30000</v>
      </c>
      <c r="O48" s="92">
        <v>30000</v>
      </c>
    </row>
    <row r="49" spans="1:15" x14ac:dyDescent="0.3">
      <c r="A49" s="87" t="s">
        <v>150</v>
      </c>
      <c r="B49" s="87"/>
      <c r="C49" s="87"/>
      <c r="D49" s="87"/>
      <c r="E49" s="87"/>
      <c r="F49" s="87"/>
      <c r="G49" s="87"/>
      <c r="H49" s="87"/>
      <c r="I49" s="92">
        <f>I48/2</f>
        <v>15000</v>
      </c>
      <c r="J49" s="87"/>
      <c r="K49" s="87"/>
      <c r="L49" s="87"/>
      <c r="M49" s="87"/>
      <c r="N49" s="87"/>
      <c r="O49" s="92">
        <f>O48/2</f>
        <v>15000</v>
      </c>
    </row>
    <row r="50" spans="1:15" x14ac:dyDescent="0.3">
      <c r="A50" s="87" t="s">
        <v>151</v>
      </c>
      <c r="B50" s="104">
        <v>0.17</v>
      </c>
      <c r="C50" s="92">
        <f t="shared" ref="C50:H50" si="26">C48*$B$9</f>
        <v>66300</v>
      </c>
      <c r="D50" s="92">
        <f t="shared" si="26"/>
        <v>5100</v>
      </c>
      <c r="E50" s="92">
        <f t="shared" si="26"/>
        <v>5100</v>
      </c>
      <c r="F50" s="92">
        <f t="shared" si="26"/>
        <v>5100</v>
      </c>
      <c r="G50" s="92">
        <f t="shared" si="26"/>
        <v>5100</v>
      </c>
      <c r="H50" s="92">
        <f t="shared" si="26"/>
        <v>5100</v>
      </c>
      <c r="I50" s="92">
        <f>(I48+I49)*$B$9</f>
        <v>7650.0000000000009</v>
      </c>
      <c r="J50" s="92">
        <f>J48*$B$9</f>
        <v>5100</v>
      </c>
      <c r="K50" s="92">
        <f>K48*$B$9</f>
        <v>5100</v>
      </c>
      <c r="L50" s="92">
        <f>L48*$B$9</f>
        <v>5100</v>
      </c>
      <c r="M50" s="92">
        <f>M48*$B$9</f>
        <v>5100</v>
      </c>
      <c r="N50" s="92">
        <f>N48*$B$9</f>
        <v>5100</v>
      </c>
      <c r="O50" s="92">
        <f>(O48+O49)*$B$9</f>
        <v>7650.0000000000009</v>
      </c>
    </row>
    <row r="51" spans="1:15" x14ac:dyDescent="0.3">
      <c r="A51" s="87" t="s">
        <v>152</v>
      </c>
      <c r="B51" s="104">
        <v>0.06</v>
      </c>
      <c r="C51" s="92">
        <f t="shared" ref="C51:H51" si="27">C48*$B$10</f>
        <v>23400</v>
      </c>
      <c r="D51" s="92">
        <f t="shared" si="27"/>
        <v>1800</v>
      </c>
      <c r="E51" s="92">
        <f t="shared" si="27"/>
        <v>1800</v>
      </c>
      <c r="F51" s="92">
        <f t="shared" si="27"/>
        <v>1800</v>
      </c>
      <c r="G51" s="92">
        <f t="shared" si="27"/>
        <v>1800</v>
      </c>
      <c r="H51" s="92">
        <f t="shared" si="27"/>
        <v>1800</v>
      </c>
      <c r="I51" s="92">
        <f>(I48+I49)*$B$10</f>
        <v>2700</v>
      </c>
      <c r="J51" s="92">
        <f>J48*$B$10</f>
        <v>1800</v>
      </c>
      <c r="K51" s="92">
        <f>K48*$B$10</f>
        <v>1800</v>
      </c>
      <c r="L51" s="92">
        <f>L48*$B$10</f>
        <v>1800</v>
      </c>
      <c r="M51" s="92">
        <f>M48*$B$10</f>
        <v>1800</v>
      </c>
      <c r="N51" s="92">
        <f>N48*$B$10</f>
        <v>1800</v>
      </c>
      <c r="O51" s="92">
        <f>(O48+O49)*$B$10</f>
        <v>2700</v>
      </c>
    </row>
    <row r="52" spans="1:15" x14ac:dyDescent="0.3">
      <c r="C52" s="77" t="s">
        <v>155</v>
      </c>
      <c r="D52" s="108">
        <f>D48-D50-D51</f>
        <v>23100</v>
      </c>
      <c r="E52" s="108">
        <f t="shared" ref="E52" si="28">E48-E50-E51</f>
        <v>23100</v>
      </c>
      <c r="F52" s="108">
        <f t="shared" ref="F52" si="29">F48-F50-F51</f>
        <v>23100</v>
      </c>
      <c r="G52" s="108">
        <f t="shared" ref="G52" si="30">G48-G50-G51</f>
        <v>23100</v>
      </c>
      <c r="H52" s="108">
        <f t="shared" ref="H52" si="31">H48-H50-H51</f>
        <v>23100</v>
      </c>
      <c r="I52" s="108">
        <f>I48+I49-I50-I51</f>
        <v>34650</v>
      </c>
      <c r="J52" s="108">
        <f t="shared" ref="J52:N52" si="32">J48-J50-J51</f>
        <v>23100</v>
      </c>
      <c r="K52" s="108">
        <f t="shared" si="32"/>
        <v>23100</v>
      </c>
      <c r="L52" s="108">
        <f t="shared" si="32"/>
        <v>23100</v>
      </c>
      <c r="M52" s="108">
        <f t="shared" si="32"/>
        <v>23100</v>
      </c>
      <c r="N52" s="108">
        <f t="shared" si="32"/>
        <v>23100</v>
      </c>
      <c r="O52" s="108">
        <f>O48+O49-O50-O51</f>
        <v>34650</v>
      </c>
    </row>
    <row r="56" spans="1:15" x14ac:dyDescent="0.3">
      <c r="A56" s="77" t="s">
        <v>160</v>
      </c>
      <c r="D56" s="206" t="s">
        <v>153</v>
      </c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</row>
    <row r="57" spans="1:15" x14ac:dyDescent="0.3">
      <c r="C57" s="76" t="s">
        <v>156</v>
      </c>
      <c r="D57" s="87">
        <v>1</v>
      </c>
      <c r="E57" s="87">
        <v>2</v>
      </c>
      <c r="F57" s="87">
        <v>3</v>
      </c>
      <c r="G57" s="87">
        <v>4</v>
      </c>
      <c r="H57" s="87">
        <v>5</v>
      </c>
      <c r="I57" s="87">
        <v>6</v>
      </c>
      <c r="J57" s="87">
        <v>7</v>
      </c>
      <c r="K57" s="87">
        <v>8</v>
      </c>
      <c r="L57" s="87">
        <v>9</v>
      </c>
      <c r="M57" s="87">
        <v>10</v>
      </c>
      <c r="N57" s="87">
        <v>11</v>
      </c>
      <c r="O57" s="87">
        <v>12</v>
      </c>
    </row>
    <row r="58" spans="1:15" x14ac:dyDescent="0.3">
      <c r="A58" s="87"/>
      <c r="B58" s="87" t="s">
        <v>154</v>
      </c>
      <c r="C58" s="107">
        <f>SUM(D58:O59)</f>
        <v>377000</v>
      </c>
      <c r="D58" s="92">
        <v>29000</v>
      </c>
      <c r="E58" s="92">
        <v>29000</v>
      </c>
      <c r="F58" s="92">
        <v>29000</v>
      </c>
      <c r="G58" s="92">
        <v>29000</v>
      </c>
      <c r="H58" s="92">
        <v>29000</v>
      </c>
      <c r="I58" s="92">
        <v>29000</v>
      </c>
      <c r="J58" s="92">
        <v>29000</v>
      </c>
      <c r="K58" s="92">
        <v>29000</v>
      </c>
      <c r="L58" s="92">
        <v>29000</v>
      </c>
      <c r="M58" s="92">
        <v>29000</v>
      </c>
      <c r="N58" s="92">
        <v>29000</v>
      </c>
      <c r="O58" s="92">
        <v>29000</v>
      </c>
    </row>
    <row r="59" spans="1:15" x14ac:dyDescent="0.3">
      <c r="A59" s="87" t="s">
        <v>150</v>
      </c>
      <c r="B59" s="87"/>
      <c r="C59" s="87"/>
      <c r="D59" s="87"/>
      <c r="E59" s="87"/>
      <c r="F59" s="87"/>
      <c r="G59" s="87"/>
      <c r="H59" s="87"/>
      <c r="I59" s="92">
        <f>I58/2</f>
        <v>14500</v>
      </c>
      <c r="J59" s="87"/>
      <c r="K59" s="87"/>
      <c r="L59" s="87"/>
      <c r="M59" s="87"/>
      <c r="N59" s="87"/>
      <c r="O59" s="92">
        <f>O58/2</f>
        <v>14500</v>
      </c>
    </row>
    <row r="60" spans="1:15" x14ac:dyDescent="0.3">
      <c r="A60" s="87" t="s">
        <v>151</v>
      </c>
      <c r="B60" s="104">
        <v>0.17</v>
      </c>
      <c r="C60" s="92">
        <f t="shared" ref="C60:H60" si="33">C58*$B$9</f>
        <v>64090.000000000007</v>
      </c>
      <c r="D60" s="92">
        <f t="shared" si="33"/>
        <v>4930</v>
      </c>
      <c r="E60" s="92">
        <f t="shared" si="33"/>
        <v>4930</v>
      </c>
      <c r="F60" s="92">
        <f t="shared" si="33"/>
        <v>4930</v>
      </c>
      <c r="G60" s="92">
        <f t="shared" si="33"/>
        <v>4930</v>
      </c>
      <c r="H60" s="92">
        <f t="shared" si="33"/>
        <v>4930</v>
      </c>
      <c r="I60" s="92">
        <f>(I58+I59)*$B$9</f>
        <v>7395.0000000000009</v>
      </c>
      <c r="J60" s="92">
        <f>J58*$B$9</f>
        <v>4930</v>
      </c>
      <c r="K60" s="92">
        <f>K58*$B$9</f>
        <v>4930</v>
      </c>
      <c r="L60" s="92">
        <f>L58*$B$9</f>
        <v>4930</v>
      </c>
      <c r="M60" s="92">
        <f>M58*$B$9</f>
        <v>4930</v>
      </c>
      <c r="N60" s="92">
        <f>N58*$B$9</f>
        <v>4930</v>
      </c>
      <c r="O60" s="92">
        <f>(O58+O59)*$B$9</f>
        <v>7395.0000000000009</v>
      </c>
    </row>
    <row r="61" spans="1:15" x14ac:dyDescent="0.3">
      <c r="A61" s="87" t="s">
        <v>152</v>
      </c>
      <c r="B61" s="104">
        <v>0.06</v>
      </c>
      <c r="C61" s="92">
        <f t="shared" ref="C61:H61" si="34">C58*$B$10</f>
        <v>22620</v>
      </c>
      <c r="D61" s="92">
        <f t="shared" si="34"/>
        <v>1740</v>
      </c>
      <c r="E61" s="92">
        <f t="shared" si="34"/>
        <v>1740</v>
      </c>
      <c r="F61" s="92">
        <f t="shared" si="34"/>
        <v>1740</v>
      </c>
      <c r="G61" s="92">
        <f t="shared" si="34"/>
        <v>1740</v>
      </c>
      <c r="H61" s="92">
        <f t="shared" si="34"/>
        <v>1740</v>
      </c>
      <c r="I61" s="92">
        <f>(I58+I59)*$B$10</f>
        <v>2610</v>
      </c>
      <c r="J61" s="92">
        <f>J58*$B$10</f>
        <v>1740</v>
      </c>
      <c r="K61" s="92">
        <f>K58*$B$10</f>
        <v>1740</v>
      </c>
      <c r="L61" s="92">
        <f>L58*$B$10</f>
        <v>1740</v>
      </c>
      <c r="M61" s="92">
        <f>M58*$B$10</f>
        <v>1740</v>
      </c>
      <c r="N61" s="92">
        <f>N58*$B$10</f>
        <v>1740</v>
      </c>
      <c r="O61" s="92">
        <f>(O58+O59)*$B$10</f>
        <v>2610</v>
      </c>
    </row>
    <row r="62" spans="1:15" x14ac:dyDescent="0.3">
      <c r="C62" s="77" t="s">
        <v>155</v>
      </c>
      <c r="D62" s="108">
        <f>D58-D60-D61</f>
        <v>22330</v>
      </c>
      <c r="E62" s="108">
        <f t="shared" ref="E62" si="35">E58-E60-E61</f>
        <v>22330</v>
      </c>
      <c r="F62" s="108">
        <f t="shared" ref="F62" si="36">F58-F60-F61</f>
        <v>22330</v>
      </c>
      <c r="G62" s="108">
        <f t="shared" ref="G62" si="37">G58-G60-G61</f>
        <v>22330</v>
      </c>
      <c r="H62" s="108">
        <f t="shared" ref="H62" si="38">H58-H60-H61</f>
        <v>22330</v>
      </c>
      <c r="I62" s="108">
        <f>I58+I59-I60-I61</f>
        <v>33495</v>
      </c>
      <c r="J62" s="108">
        <f t="shared" ref="J62:N62" si="39">J58-J60-J61</f>
        <v>22330</v>
      </c>
      <c r="K62" s="108">
        <f t="shared" si="39"/>
        <v>22330</v>
      </c>
      <c r="L62" s="108">
        <f t="shared" si="39"/>
        <v>22330</v>
      </c>
      <c r="M62" s="108">
        <f t="shared" si="39"/>
        <v>22330</v>
      </c>
      <c r="N62" s="108">
        <f t="shared" si="39"/>
        <v>22330</v>
      </c>
      <c r="O62" s="108">
        <f>O58+O59-O60-O61</f>
        <v>33495</v>
      </c>
    </row>
    <row r="65" spans="1:15" x14ac:dyDescent="0.3">
      <c r="A65" s="161" t="s">
        <v>164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</row>
    <row r="68" spans="1:15" x14ac:dyDescent="0.3">
      <c r="A68" s="145" t="s">
        <v>161</v>
      </c>
      <c r="B68" s="145"/>
      <c r="C68" s="145"/>
      <c r="D68" s="202" t="s">
        <v>153</v>
      </c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</row>
    <row r="69" spans="1:15" x14ac:dyDescent="0.3">
      <c r="A69" s="145"/>
      <c r="B69" s="145"/>
      <c r="C69" s="145" t="s">
        <v>156</v>
      </c>
      <c r="D69" s="146">
        <v>1</v>
      </c>
      <c r="E69" s="146">
        <v>2</v>
      </c>
      <c r="F69" s="146">
        <v>3</v>
      </c>
      <c r="G69" s="146">
        <v>4</v>
      </c>
      <c r="H69" s="146">
        <v>5</v>
      </c>
      <c r="I69" s="146">
        <v>6</v>
      </c>
      <c r="J69" s="146">
        <v>7</v>
      </c>
      <c r="K69" s="146">
        <v>8</v>
      </c>
      <c r="L69" s="146">
        <v>9</v>
      </c>
      <c r="M69" s="146">
        <v>10</v>
      </c>
      <c r="N69" s="146">
        <v>11</v>
      </c>
      <c r="O69" s="146">
        <v>12</v>
      </c>
    </row>
    <row r="70" spans="1:15" x14ac:dyDescent="0.3">
      <c r="A70" s="87"/>
      <c r="B70" s="87" t="s">
        <v>154</v>
      </c>
      <c r="C70" s="107">
        <f>SUM(D70:O71)</f>
        <v>416000</v>
      </c>
      <c r="D70" s="92">
        <v>32000</v>
      </c>
      <c r="E70" s="92">
        <v>32000</v>
      </c>
      <c r="F70" s="92">
        <v>32000</v>
      </c>
      <c r="G70" s="92">
        <v>32000</v>
      </c>
      <c r="H70" s="92">
        <v>32000</v>
      </c>
      <c r="I70" s="92">
        <v>32000</v>
      </c>
      <c r="J70" s="92">
        <v>32000</v>
      </c>
      <c r="K70" s="92">
        <v>32000</v>
      </c>
      <c r="L70" s="92">
        <v>32000</v>
      </c>
      <c r="M70" s="92">
        <v>32000</v>
      </c>
      <c r="N70" s="92">
        <v>32000</v>
      </c>
      <c r="O70" s="92">
        <v>32000</v>
      </c>
    </row>
    <row r="71" spans="1:15" x14ac:dyDescent="0.3">
      <c r="A71" s="87" t="s">
        <v>150</v>
      </c>
      <c r="B71" s="87"/>
      <c r="C71" s="87"/>
      <c r="D71" s="87"/>
      <c r="E71" s="87"/>
      <c r="F71" s="87"/>
      <c r="G71" s="87"/>
      <c r="H71" s="87"/>
      <c r="I71" s="92">
        <f>I70/2</f>
        <v>16000</v>
      </c>
      <c r="J71" s="87"/>
      <c r="K71" s="87"/>
      <c r="L71" s="87"/>
      <c r="M71" s="87"/>
      <c r="N71" s="87"/>
      <c r="O71" s="92">
        <f>O70/2</f>
        <v>16000</v>
      </c>
    </row>
    <row r="72" spans="1:15" x14ac:dyDescent="0.3">
      <c r="A72" s="87" t="s">
        <v>151</v>
      </c>
      <c r="B72" s="104">
        <v>0.17</v>
      </c>
      <c r="C72" s="92">
        <f t="shared" ref="C72:H72" si="40">C70*$B$9</f>
        <v>70720</v>
      </c>
      <c r="D72" s="92">
        <f t="shared" si="40"/>
        <v>5440</v>
      </c>
      <c r="E72" s="92">
        <f t="shared" si="40"/>
        <v>5440</v>
      </c>
      <c r="F72" s="92">
        <f t="shared" si="40"/>
        <v>5440</v>
      </c>
      <c r="G72" s="92">
        <f t="shared" si="40"/>
        <v>5440</v>
      </c>
      <c r="H72" s="92">
        <f t="shared" si="40"/>
        <v>5440</v>
      </c>
      <c r="I72" s="92">
        <f>(I70+I71)*$B$9</f>
        <v>8160.0000000000009</v>
      </c>
      <c r="J72" s="92">
        <f>J70*$B$9</f>
        <v>5440</v>
      </c>
      <c r="K72" s="92">
        <f>K70*$B$9</f>
        <v>5440</v>
      </c>
      <c r="L72" s="92">
        <f>L70*$B$9</f>
        <v>5440</v>
      </c>
      <c r="M72" s="92">
        <f>M70*$B$9</f>
        <v>5440</v>
      </c>
      <c r="N72" s="92">
        <f>N70*$B$9</f>
        <v>5440</v>
      </c>
      <c r="O72" s="92">
        <f>(O70+O71)*$B$9</f>
        <v>8160.0000000000009</v>
      </c>
    </row>
    <row r="73" spans="1:15" x14ac:dyDescent="0.3">
      <c r="A73" s="87" t="s">
        <v>152</v>
      </c>
      <c r="B73" s="104">
        <v>0.06</v>
      </c>
      <c r="C73" s="92">
        <f t="shared" ref="C73:H73" si="41">C70*$B$10</f>
        <v>24960</v>
      </c>
      <c r="D73" s="92">
        <f t="shared" si="41"/>
        <v>1920</v>
      </c>
      <c r="E73" s="92">
        <f t="shared" si="41"/>
        <v>1920</v>
      </c>
      <c r="F73" s="92">
        <f t="shared" si="41"/>
        <v>1920</v>
      </c>
      <c r="G73" s="92">
        <f t="shared" si="41"/>
        <v>1920</v>
      </c>
      <c r="H73" s="92">
        <f t="shared" si="41"/>
        <v>1920</v>
      </c>
      <c r="I73" s="92">
        <f>(I70+I71)*$B$10</f>
        <v>2880</v>
      </c>
      <c r="J73" s="92">
        <f>J70*$B$10</f>
        <v>1920</v>
      </c>
      <c r="K73" s="92">
        <f>K70*$B$10</f>
        <v>1920</v>
      </c>
      <c r="L73" s="92">
        <f>L70*$B$10</f>
        <v>1920</v>
      </c>
      <c r="M73" s="92">
        <f>M70*$B$10</f>
        <v>1920</v>
      </c>
      <c r="N73" s="92">
        <f>N70*$B$10</f>
        <v>1920</v>
      </c>
      <c r="O73" s="92">
        <f>(O70+O71)*$B$10</f>
        <v>2880</v>
      </c>
    </row>
    <row r="74" spans="1:15" x14ac:dyDescent="0.3">
      <c r="C74" s="77" t="s">
        <v>155</v>
      </c>
      <c r="D74" s="108">
        <f>D70-D72-D73</f>
        <v>24640</v>
      </c>
      <c r="E74" s="108">
        <f t="shared" ref="E74" si="42">E70-E72-E73</f>
        <v>24640</v>
      </c>
      <c r="F74" s="108">
        <f t="shared" ref="F74" si="43">F70-F72-F73</f>
        <v>24640</v>
      </c>
      <c r="G74" s="108">
        <f t="shared" ref="G74" si="44">G70-G72-G73</f>
        <v>24640</v>
      </c>
      <c r="H74" s="108">
        <f t="shared" ref="H74" si="45">H70-H72-H73</f>
        <v>24640</v>
      </c>
      <c r="I74" s="108">
        <f>I70+I71-I72-I73</f>
        <v>36960</v>
      </c>
      <c r="J74" s="108">
        <f t="shared" ref="J74:N74" si="46">J70-J72-J73</f>
        <v>24640</v>
      </c>
      <c r="K74" s="108">
        <f t="shared" si="46"/>
        <v>24640</v>
      </c>
      <c r="L74" s="108">
        <f t="shared" si="46"/>
        <v>24640</v>
      </c>
      <c r="M74" s="108">
        <f t="shared" si="46"/>
        <v>24640</v>
      </c>
      <c r="N74" s="108">
        <f t="shared" si="46"/>
        <v>24640</v>
      </c>
      <c r="O74" s="108">
        <f>O70+O71-O72-O73</f>
        <v>36960</v>
      </c>
    </row>
    <row r="78" spans="1:15" x14ac:dyDescent="0.3">
      <c r="A78" s="160" t="s">
        <v>162</v>
      </c>
      <c r="B78" s="145"/>
      <c r="C78" s="145"/>
      <c r="D78" s="202" t="s">
        <v>153</v>
      </c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</row>
    <row r="79" spans="1:15" x14ac:dyDescent="0.3">
      <c r="A79" s="145"/>
      <c r="B79" s="145"/>
      <c r="C79" s="145" t="s">
        <v>156</v>
      </c>
      <c r="D79" s="146">
        <v>1</v>
      </c>
      <c r="E79" s="146">
        <v>2</v>
      </c>
      <c r="F79" s="146">
        <v>3</v>
      </c>
      <c r="G79" s="146">
        <v>4</v>
      </c>
      <c r="H79" s="146">
        <v>5</v>
      </c>
      <c r="I79" s="146">
        <v>6</v>
      </c>
      <c r="J79" s="146">
        <v>7</v>
      </c>
      <c r="K79" s="146">
        <v>8</v>
      </c>
      <c r="L79" s="146">
        <v>9</v>
      </c>
      <c r="M79" s="146">
        <v>10</v>
      </c>
      <c r="N79" s="146">
        <v>11</v>
      </c>
      <c r="O79" s="146">
        <v>12</v>
      </c>
    </row>
    <row r="80" spans="1:15" x14ac:dyDescent="0.3">
      <c r="A80" s="87"/>
      <c r="B80" s="87" t="s">
        <v>154</v>
      </c>
      <c r="C80" s="107">
        <f>SUM(D80:O81)</f>
        <v>403000</v>
      </c>
      <c r="D80" s="92">
        <v>31000</v>
      </c>
      <c r="E80" s="92">
        <v>31000</v>
      </c>
      <c r="F80" s="92">
        <v>31000</v>
      </c>
      <c r="G80" s="92">
        <v>31000</v>
      </c>
      <c r="H80" s="92">
        <v>31000</v>
      </c>
      <c r="I80" s="92">
        <v>31000</v>
      </c>
      <c r="J80" s="92">
        <v>31000</v>
      </c>
      <c r="K80" s="92">
        <v>31000</v>
      </c>
      <c r="L80" s="92">
        <v>31000</v>
      </c>
      <c r="M80" s="92">
        <v>31000</v>
      </c>
      <c r="N80" s="92">
        <v>31000</v>
      </c>
      <c r="O80" s="92">
        <v>31000</v>
      </c>
    </row>
    <row r="81" spans="1:15" x14ac:dyDescent="0.3">
      <c r="A81" s="87" t="s">
        <v>150</v>
      </c>
      <c r="B81" s="87"/>
      <c r="C81" s="87"/>
      <c r="D81" s="87"/>
      <c r="E81" s="87"/>
      <c r="F81" s="87"/>
      <c r="G81" s="87"/>
      <c r="H81" s="87"/>
      <c r="I81" s="92">
        <f>I80/2</f>
        <v>15500</v>
      </c>
      <c r="J81" s="87"/>
      <c r="K81" s="87"/>
      <c r="L81" s="87"/>
      <c r="M81" s="87"/>
      <c r="N81" s="87"/>
      <c r="O81" s="92">
        <f>O80/2</f>
        <v>15500</v>
      </c>
    </row>
    <row r="82" spans="1:15" x14ac:dyDescent="0.3">
      <c r="A82" s="87" t="s">
        <v>151</v>
      </c>
      <c r="B82" s="104">
        <v>0.17</v>
      </c>
      <c r="C82" s="92">
        <f t="shared" ref="C82:H82" si="47">C80*$B$9</f>
        <v>68510</v>
      </c>
      <c r="D82" s="92">
        <f t="shared" si="47"/>
        <v>5270</v>
      </c>
      <c r="E82" s="92">
        <f t="shared" si="47"/>
        <v>5270</v>
      </c>
      <c r="F82" s="92">
        <f t="shared" si="47"/>
        <v>5270</v>
      </c>
      <c r="G82" s="92">
        <f t="shared" si="47"/>
        <v>5270</v>
      </c>
      <c r="H82" s="92">
        <f t="shared" si="47"/>
        <v>5270</v>
      </c>
      <c r="I82" s="92">
        <f>(I80+I81)*$B$9</f>
        <v>7905.0000000000009</v>
      </c>
      <c r="J82" s="92">
        <f>J80*$B$9</f>
        <v>5270</v>
      </c>
      <c r="K82" s="92">
        <f>K80*$B$9</f>
        <v>5270</v>
      </c>
      <c r="L82" s="92">
        <f>L80*$B$9</f>
        <v>5270</v>
      </c>
      <c r="M82" s="92">
        <f>M80*$B$9</f>
        <v>5270</v>
      </c>
      <c r="N82" s="92">
        <f>N80*$B$9</f>
        <v>5270</v>
      </c>
      <c r="O82" s="92">
        <f>(O80+O81)*$B$9</f>
        <v>7905.0000000000009</v>
      </c>
    </row>
    <row r="83" spans="1:15" x14ac:dyDescent="0.3">
      <c r="A83" s="87" t="s">
        <v>152</v>
      </c>
      <c r="B83" s="104">
        <v>0.06</v>
      </c>
      <c r="C83" s="92">
        <f t="shared" ref="C83:H83" si="48">C80*$B$10</f>
        <v>24180</v>
      </c>
      <c r="D83" s="92">
        <f t="shared" si="48"/>
        <v>1860</v>
      </c>
      <c r="E83" s="92">
        <f t="shared" si="48"/>
        <v>1860</v>
      </c>
      <c r="F83" s="92">
        <f t="shared" si="48"/>
        <v>1860</v>
      </c>
      <c r="G83" s="92">
        <f t="shared" si="48"/>
        <v>1860</v>
      </c>
      <c r="H83" s="92">
        <f t="shared" si="48"/>
        <v>1860</v>
      </c>
      <c r="I83" s="92">
        <f>(I80+I81)*$B$10</f>
        <v>2790</v>
      </c>
      <c r="J83" s="92">
        <f>J80*$B$10</f>
        <v>1860</v>
      </c>
      <c r="K83" s="92">
        <f>K80*$B$10</f>
        <v>1860</v>
      </c>
      <c r="L83" s="92">
        <f>L80*$B$10</f>
        <v>1860</v>
      </c>
      <c r="M83" s="92">
        <f>M80*$B$10</f>
        <v>1860</v>
      </c>
      <c r="N83" s="92">
        <f>N80*$B$10</f>
        <v>1860</v>
      </c>
      <c r="O83" s="92">
        <f>(O80+O81)*$B$10</f>
        <v>2790</v>
      </c>
    </row>
    <row r="84" spans="1:15" x14ac:dyDescent="0.3">
      <c r="C84" s="77" t="s">
        <v>155</v>
      </c>
      <c r="D84" s="108">
        <f>D80-D82-D83</f>
        <v>23870</v>
      </c>
      <c r="E84" s="108">
        <f t="shared" ref="E84" si="49">E80-E82-E83</f>
        <v>23870</v>
      </c>
      <c r="F84" s="108">
        <f t="shared" ref="F84" si="50">F80-F82-F83</f>
        <v>23870</v>
      </c>
      <c r="G84" s="108">
        <f t="shared" ref="G84" si="51">G80-G82-G83</f>
        <v>23870</v>
      </c>
      <c r="H84" s="108">
        <f t="shared" ref="H84" si="52">H80-H82-H83</f>
        <v>23870</v>
      </c>
      <c r="I84" s="108">
        <f>I80+I81-I82-I83</f>
        <v>35805</v>
      </c>
      <c r="J84" s="108">
        <f t="shared" ref="J84:N84" si="53">J80-J82-J83</f>
        <v>23870</v>
      </c>
      <c r="K84" s="108">
        <f t="shared" si="53"/>
        <v>23870</v>
      </c>
      <c r="L84" s="108">
        <f t="shared" si="53"/>
        <v>23870</v>
      </c>
      <c r="M84" s="108">
        <f t="shared" si="53"/>
        <v>23870</v>
      </c>
      <c r="N84" s="108">
        <f t="shared" si="53"/>
        <v>23870</v>
      </c>
      <c r="O84" s="108">
        <f>O80+O81-O82-O83</f>
        <v>35805</v>
      </c>
    </row>
    <row r="90" spans="1:15" x14ac:dyDescent="0.3">
      <c r="C90" s="146"/>
      <c r="D90" s="159" t="s">
        <v>37</v>
      </c>
      <c r="E90" s="159" t="s">
        <v>38</v>
      </c>
      <c r="F90" s="159" t="s">
        <v>39</v>
      </c>
    </row>
    <row r="91" spans="1:15" x14ac:dyDescent="0.3">
      <c r="C91" s="203" t="s">
        <v>157</v>
      </c>
      <c r="D91" s="92">
        <f>+C26+C17+C7</f>
        <v>1560000</v>
      </c>
      <c r="E91" s="92">
        <f>+D91+C38+C48+C58</f>
        <v>2691000</v>
      </c>
      <c r="F91" s="92">
        <f>+E91+C70+C80</f>
        <v>3510000</v>
      </c>
    </row>
    <row r="92" spans="1:15" x14ac:dyDescent="0.3">
      <c r="C92" s="204"/>
      <c r="D92" s="87"/>
      <c r="E92" s="87"/>
      <c r="F92" s="87"/>
    </row>
    <row r="93" spans="1:15" x14ac:dyDescent="0.3">
      <c r="C93" s="204"/>
      <c r="D93" s="87" t="s">
        <v>4</v>
      </c>
      <c r="E93" s="87" t="s">
        <v>4</v>
      </c>
      <c r="F93" s="87" t="s">
        <v>4</v>
      </c>
    </row>
    <row r="94" spans="1:15" x14ac:dyDescent="0.3">
      <c r="C94" s="205"/>
      <c r="D94" s="92">
        <f>D91/12</f>
        <v>130000</v>
      </c>
      <c r="E94" s="92">
        <f>E91/12</f>
        <v>224250</v>
      </c>
      <c r="F94" s="92">
        <f>F91/12</f>
        <v>292500</v>
      </c>
    </row>
  </sheetData>
  <mergeCells count="9">
    <mergeCell ref="D68:O68"/>
    <mergeCell ref="D78:O78"/>
    <mergeCell ref="C91:C94"/>
    <mergeCell ref="D5:O5"/>
    <mergeCell ref="D15:O15"/>
    <mergeCell ref="D24:O24"/>
    <mergeCell ref="D36:O36"/>
    <mergeCell ref="D46:O46"/>
    <mergeCell ref="D56:O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2017-11-14T23:31:32Z</dcterms:modified>
</cp:coreProperties>
</file>