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05" tabRatio="714" activeTab="1"/>
  </bookViews>
  <sheets>
    <sheet name="Mercado Meta" sheetId="4" r:id="rId1"/>
    <sheet name="Costos" sheetId="1" r:id="rId2"/>
    <sheet name="Mensual" sheetId="2" r:id="rId3"/>
    <sheet name="Estrategia de precio" sheetId="3" r:id="rId4"/>
    <sheet name="Cashflow" sheetId="5" r:id="rId5"/>
    <sheet name="Inversion" sheetId="6" r:id="rId6"/>
    <sheet name="Costo de Desarrollo" sheetId="8" r:id="rId7"/>
    <sheet name="Recursos" sheetId="7" r:id="rId8"/>
    <sheet name="Riesgo" sheetId="9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" l="1"/>
  <c r="D46" i="2"/>
  <c r="E46" i="2"/>
  <c r="F46" i="2"/>
  <c r="G46" i="2"/>
  <c r="H46" i="2"/>
  <c r="I46" i="2"/>
  <c r="J46" i="2"/>
  <c r="K46" i="2"/>
  <c r="L46" i="2"/>
  <c r="M46" i="2"/>
  <c r="B46" i="2"/>
  <c r="C34" i="2"/>
  <c r="D34" i="2"/>
  <c r="E34" i="2"/>
  <c r="F34" i="2"/>
  <c r="G34" i="2"/>
  <c r="H34" i="2"/>
  <c r="I34" i="2"/>
  <c r="J34" i="2"/>
  <c r="K34" i="2"/>
  <c r="L34" i="2"/>
  <c r="M34" i="2"/>
  <c r="B34" i="2"/>
  <c r="C23" i="2"/>
  <c r="D23" i="2"/>
  <c r="E23" i="2"/>
  <c r="F23" i="2"/>
  <c r="G23" i="2"/>
  <c r="H23" i="2"/>
  <c r="I23" i="2"/>
  <c r="J23" i="2"/>
  <c r="K23" i="2"/>
  <c r="L23" i="2"/>
  <c r="M23" i="2"/>
  <c r="B23" i="2"/>
  <c r="E9" i="5"/>
  <c r="D9" i="5"/>
  <c r="D10" i="5"/>
  <c r="D20" i="3" l="1"/>
  <c r="C20" i="3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20" i="9" l="1"/>
  <c r="B20" i="9"/>
  <c r="B15" i="9"/>
  <c r="G30" i="1"/>
  <c r="G18" i="1"/>
  <c r="O38" i="7"/>
  <c r="N38" i="7"/>
  <c r="M38" i="7"/>
  <c r="L38" i="7"/>
  <c r="K38" i="7"/>
  <c r="J38" i="7"/>
  <c r="H38" i="7"/>
  <c r="G38" i="7"/>
  <c r="G39" i="7" s="1"/>
  <c r="F38" i="7"/>
  <c r="E38" i="7"/>
  <c r="D38" i="7"/>
  <c r="N37" i="7"/>
  <c r="M37" i="7"/>
  <c r="M39" i="7" s="1"/>
  <c r="L37" i="7"/>
  <c r="L39" i="7" s="1"/>
  <c r="K37" i="7"/>
  <c r="J37" i="7"/>
  <c r="J39" i="7" s="1"/>
  <c r="H37" i="7"/>
  <c r="H39" i="7" s="1"/>
  <c r="G37" i="7"/>
  <c r="F37" i="7"/>
  <c r="E37" i="7"/>
  <c r="D37" i="7"/>
  <c r="O36" i="7"/>
  <c r="O37" i="7" s="1"/>
  <c r="I36" i="7"/>
  <c r="C35" i="7"/>
  <c r="C37" i="7" s="1"/>
  <c r="I47" i="7"/>
  <c r="O47" i="7"/>
  <c r="C46" i="7" s="1"/>
  <c r="O39" i="7" l="1"/>
  <c r="N39" i="7"/>
  <c r="K39" i="7"/>
  <c r="F39" i="7"/>
  <c r="E39" i="7"/>
  <c r="D39" i="7"/>
  <c r="C38" i="7"/>
  <c r="I37" i="7"/>
  <c r="I38" i="7"/>
  <c r="I39" i="7" l="1"/>
  <c r="B13" i="9" l="1"/>
  <c r="B12" i="9"/>
  <c r="B11" i="9"/>
  <c r="B16" i="9"/>
  <c r="D21" i="3" l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0" i="3"/>
  <c r="N91" i="7" l="1"/>
  <c r="M91" i="7"/>
  <c r="L91" i="7"/>
  <c r="K91" i="7"/>
  <c r="J91" i="7"/>
  <c r="N81" i="7"/>
  <c r="M81" i="7"/>
  <c r="L81" i="7"/>
  <c r="K81" i="7"/>
  <c r="J81" i="7"/>
  <c r="N69" i="7"/>
  <c r="M69" i="7"/>
  <c r="L69" i="7"/>
  <c r="K69" i="7"/>
  <c r="J69" i="7"/>
  <c r="N59" i="7"/>
  <c r="M59" i="7"/>
  <c r="L59" i="7"/>
  <c r="K59" i="7"/>
  <c r="J59" i="7"/>
  <c r="O49" i="7"/>
  <c r="N49" i="7"/>
  <c r="M49" i="7"/>
  <c r="L49" i="7"/>
  <c r="K49" i="7"/>
  <c r="J49" i="7"/>
  <c r="I49" i="7"/>
  <c r="N29" i="7"/>
  <c r="M29" i="7"/>
  <c r="L29" i="7"/>
  <c r="K29" i="7"/>
  <c r="J29" i="7"/>
  <c r="N20" i="7"/>
  <c r="M20" i="7"/>
  <c r="L20" i="7"/>
  <c r="K20" i="7"/>
  <c r="J20" i="7"/>
  <c r="M82" i="7" l="1"/>
  <c r="O57" i="7"/>
  <c r="I57" i="7"/>
  <c r="O89" i="7"/>
  <c r="I89" i="7"/>
  <c r="O79" i="7"/>
  <c r="I79" i="7"/>
  <c r="O67" i="7"/>
  <c r="I67" i="7"/>
  <c r="O48" i="7"/>
  <c r="O50" i="7" s="1"/>
  <c r="C49" i="7"/>
  <c r="O27" i="7"/>
  <c r="I27" i="7"/>
  <c r="O18" i="7"/>
  <c r="I18" i="7"/>
  <c r="O8" i="7"/>
  <c r="I8" i="7"/>
  <c r="I10" i="7" s="1"/>
  <c r="H91" i="7"/>
  <c r="G91" i="7"/>
  <c r="F91" i="7"/>
  <c r="E91" i="7"/>
  <c r="D91" i="7"/>
  <c r="O90" i="7"/>
  <c r="N90" i="7"/>
  <c r="N92" i="7" s="1"/>
  <c r="M90" i="7"/>
  <c r="M92" i="7" s="1"/>
  <c r="L90" i="7"/>
  <c r="L92" i="7" s="1"/>
  <c r="K90" i="7"/>
  <c r="K92" i="7" s="1"/>
  <c r="J90" i="7"/>
  <c r="J92" i="7" s="1"/>
  <c r="H90" i="7"/>
  <c r="G90" i="7"/>
  <c r="F90" i="7"/>
  <c r="E90" i="7"/>
  <c r="D90" i="7"/>
  <c r="H81" i="7"/>
  <c r="G81" i="7"/>
  <c r="F81" i="7"/>
  <c r="E81" i="7"/>
  <c r="D81" i="7"/>
  <c r="N80" i="7"/>
  <c r="N82" i="7" s="1"/>
  <c r="M80" i="7"/>
  <c r="L80" i="7"/>
  <c r="L82" i="7" s="1"/>
  <c r="K80" i="7"/>
  <c r="K82" i="7" s="1"/>
  <c r="J80" i="7"/>
  <c r="J82" i="7" s="1"/>
  <c r="H80" i="7"/>
  <c r="G80" i="7"/>
  <c r="F80" i="7"/>
  <c r="E80" i="7"/>
  <c r="D80" i="7"/>
  <c r="H69" i="7"/>
  <c r="G69" i="7"/>
  <c r="F69" i="7"/>
  <c r="E69" i="7"/>
  <c r="D69" i="7"/>
  <c r="N68" i="7"/>
  <c r="N70" i="7" s="1"/>
  <c r="M68" i="7"/>
  <c r="M70" i="7" s="1"/>
  <c r="L68" i="7"/>
  <c r="L70" i="7" s="1"/>
  <c r="K68" i="7"/>
  <c r="K70" i="7" s="1"/>
  <c r="J68" i="7"/>
  <c r="J70" i="7" s="1"/>
  <c r="H68" i="7"/>
  <c r="G68" i="7"/>
  <c r="F68" i="7"/>
  <c r="E68" i="7"/>
  <c r="E70" i="7" s="1"/>
  <c r="D68" i="7"/>
  <c r="H59" i="7"/>
  <c r="G59" i="7"/>
  <c r="F59" i="7"/>
  <c r="E59" i="7"/>
  <c r="D59" i="7"/>
  <c r="O58" i="7"/>
  <c r="N58" i="7"/>
  <c r="N60" i="7" s="1"/>
  <c r="M58" i="7"/>
  <c r="M60" i="7" s="1"/>
  <c r="L58" i="7"/>
  <c r="L60" i="7" s="1"/>
  <c r="K58" i="7"/>
  <c r="K60" i="7" s="1"/>
  <c r="J58" i="7"/>
  <c r="J60" i="7" s="1"/>
  <c r="H58" i="7"/>
  <c r="G58" i="7"/>
  <c r="F58" i="7"/>
  <c r="F60" i="7" s="1"/>
  <c r="E58" i="7"/>
  <c r="E60" i="7" s="1"/>
  <c r="D58" i="7"/>
  <c r="H49" i="7"/>
  <c r="G49" i="7"/>
  <c r="F49" i="7"/>
  <c r="E49" i="7"/>
  <c r="D49" i="7"/>
  <c r="N48" i="7"/>
  <c r="N50" i="7" s="1"/>
  <c r="M48" i="7"/>
  <c r="M50" i="7" s="1"/>
  <c r="L48" i="7"/>
  <c r="L50" i="7" s="1"/>
  <c r="K48" i="7"/>
  <c r="K50" i="7" s="1"/>
  <c r="J48" i="7"/>
  <c r="J50" i="7" s="1"/>
  <c r="H48" i="7"/>
  <c r="G48" i="7"/>
  <c r="F48" i="7"/>
  <c r="E48" i="7"/>
  <c r="D48" i="7"/>
  <c r="H29" i="7"/>
  <c r="G29" i="7"/>
  <c r="F29" i="7"/>
  <c r="E29" i="7"/>
  <c r="D29" i="7"/>
  <c r="O28" i="7"/>
  <c r="N28" i="7"/>
  <c r="N30" i="7" s="1"/>
  <c r="M28" i="7"/>
  <c r="M30" i="7" s="1"/>
  <c r="L28" i="7"/>
  <c r="L30" i="7" s="1"/>
  <c r="K28" i="7"/>
  <c r="K30" i="7" s="1"/>
  <c r="J28" i="7"/>
  <c r="J30" i="7" s="1"/>
  <c r="H28" i="7"/>
  <c r="G28" i="7"/>
  <c r="F28" i="7"/>
  <c r="F30" i="7" s="1"/>
  <c r="E28" i="7"/>
  <c r="E30" i="7" s="1"/>
  <c r="D28" i="7"/>
  <c r="C26" i="7"/>
  <c r="C29" i="7" s="1"/>
  <c r="H20" i="7"/>
  <c r="G20" i="7"/>
  <c r="F20" i="7"/>
  <c r="E20" i="7"/>
  <c r="E21" i="7" s="1"/>
  <c r="D20" i="7"/>
  <c r="N19" i="7"/>
  <c r="N21" i="7" s="1"/>
  <c r="M19" i="7"/>
  <c r="M21" i="7" s="1"/>
  <c r="L19" i="7"/>
  <c r="L21" i="7" s="1"/>
  <c r="K19" i="7"/>
  <c r="K21" i="7" s="1"/>
  <c r="J19" i="7"/>
  <c r="J21" i="7" s="1"/>
  <c r="H19" i="7"/>
  <c r="G19" i="7"/>
  <c r="F19" i="7"/>
  <c r="E19" i="7"/>
  <c r="D19" i="7"/>
  <c r="O9" i="7"/>
  <c r="E9" i="7"/>
  <c r="F9" i="7"/>
  <c r="G9" i="7"/>
  <c r="H9" i="7"/>
  <c r="J9" i="7"/>
  <c r="K9" i="7"/>
  <c r="L9" i="7"/>
  <c r="M9" i="7"/>
  <c r="N9" i="7"/>
  <c r="E10" i="7"/>
  <c r="E11" i="7" s="1"/>
  <c r="F10" i="7"/>
  <c r="G10" i="7"/>
  <c r="H10" i="7"/>
  <c r="J10" i="7"/>
  <c r="K10" i="7"/>
  <c r="L10" i="7"/>
  <c r="M10" i="7"/>
  <c r="N10" i="7"/>
  <c r="D10" i="7"/>
  <c r="D11" i="7" s="1"/>
  <c r="D9" i="7"/>
  <c r="O20" i="7" l="1"/>
  <c r="O81" i="7"/>
  <c r="O82" i="7"/>
  <c r="O60" i="7"/>
  <c r="O59" i="7"/>
  <c r="C56" i="7"/>
  <c r="C59" i="7" s="1"/>
  <c r="I11" i="7"/>
  <c r="I28" i="7"/>
  <c r="I29" i="7"/>
  <c r="C66" i="7"/>
  <c r="C69" i="7" s="1"/>
  <c r="I69" i="7"/>
  <c r="I90" i="7"/>
  <c r="I91" i="7"/>
  <c r="I92" i="7"/>
  <c r="C7" i="7"/>
  <c r="C9" i="7" s="1"/>
  <c r="N11" i="7"/>
  <c r="J11" i="7"/>
  <c r="D21" i="7"/>
  <c r="H21" i="7"/>
  <c r="O10" i="7"/>
  <c r="O11" i="7" s="1"/>
  <c r="O30" i="7"/>
  <c r="O29" i="7"/>
  <c r="O68" i="7"/>
  <c r="O69" i="7"/>
  <c r="O70" i="7" s="1"/>
  <c r="O91" i="7"/>
  <c r="O92" i="7" s="1"/>
  <c r="K11" i="7"/>
  <c r="G30" i="7"/>
  <c r="G60" i="7"/>
  <c r="G11" i="7"/>
  <c r="I9" i="7"/>
  <c r="I68" i="7"/>
  <c r="I70" i="7" s="1"/>
  <c r="G82" i="7"/>
  <c r="I20" i="7"/>
  <c r="I80" i="7"/>
  <c r="I81" i="7"/>
  <c r="I58" i="7"/>
  <c r="I59" i="7"/>
  <c r="I60" i="7"/>
  <c r="F70" i="7"/>
  <c r="H92" i="7"/>
  <c r="C17" i="7"/>
  <c r="C20" i="7" s="1"/>
  <c r="M11" i="7"/>
  <c r="H11" i="7"/>
  <c r="F21" i="7"/>
  <c r="O19" i="7"/>
  <c r="O21" i="7" s="1"/>
  <c r="D30" i="7"/>
  <c r="H30" i="7"/>
  <c r="F50" i="7"/>
  <c r="G70" i="7"/>
  <c r="F82" i="7"/>
  <c r="E92" i="7"/>
  <c r="F11" i="7"/>
  <c r="L11" i="7"/>
  <c r="G21" i="7"/>
  <c r="G92" i="7"/>
  <c r="F92" i="7"/>
  <c r="C88" i="7"/>
  <c r="C90" i="7" s="1"/>
  <c r="D92" i="7"/>
  <c r="H82" i="7"/>
  <c r="E82" i="7"/>
  <c r="D82" i="7"/>
  <c r="G50" i="7"/>
  <c r="E50" i="7"/>
  <c r="I48" i="7"/>
  <c r="I50" i="7" s="1"/>
  <c r="H70" i="7"/>
  <c r="D70" i="7"/>
  <c r="H60" i="7"/>
  <c r="D60" i="7"/>
  <c r="C91" i="7"/>
  <c r="C78" i="7"/>
  <c r="O80" i="7"/>
  <c r="I19" i="7"/>
  <c r="I21" i="7" s="1"/>
  <c r="D99" i="7"/>
  <c r="H50" i="7"/>
  <c r="D50" i="7"/>
  <c r="C68" i="7"/>
  <c r="C58" i="7"/>
  <c r="C48" i="7"/>
  <c r="C28" i="7"/>
  <c r="C19" i="7"/>
  <c r="B6" i="4"/>
  <c r="D9" i="6"/>
  <c r="F5" i="8"/>
  <c r="F6" i="8"/>
  <c r="F7" i="8"/>
  <c r="F8" i="8"/>
  <c r="F10" i="8"/>
  <c r="F11" i="8"/>
  <c r="F12" i="8"/>
  <c r="F13" i="8"/>
  <c r="F14" i="8"/>
  <c r="F4" i="8"/>
  <c r="D7" i="6"/>
  <c r="D8" i="6"/>
  <c r="H8" i="6" s="1"/>
  <c r="E27" i="6" s="1"/>
  <c r="D11" i="6"/>
  <c r="H11" i="6" s="1"/>
  <c r="E30" i="6" s="1"/>
  <c r="D12" i="6"/>
  <c r="I12" i="6" s="1"/>
  <c r="D14" i="6"/>
  <c r="I14" i="6" s="1"/>
  <c r="D15" i="6"/>
  <c r="J15" i="6" s="1"/>
  <c r="D16" i="6"/>
  <c r="H16" i="6" s="1"/>
  <c r="D6" i="6"/>
  <c r="H6" i="6" s="1"/>
  <c r="E25" i="6" s="1"/>
  <c r="C10" i="7" l="1"/>
  <c r="I30" i="7"/>
  <c r="I82" i="7"/>
  <c r="I16" i="6"/>
  <c r="J9" i="6"/>
  <c r="B28" i="6"/>
  <c r="H7" i="6"/>
  <c r="E26" i="6" s="1"/>
  <c r="B26" i="6"/>
  <c r="H15" i="6"/>
  <c r="J6" i="6"/>
  <c r="B25" i="6"/>
  <c r="F25" i="6" s="1"/>
  <c r="J12" i="6"/>
  <c r="B31" i="6"/>
  <c r="I9" i="6"/>
  <c r="I15" i="6"/>
  <c r="J11" i="6"/>
  <c r="B30" i="6"/>
  <c r="F30" i="6" s="1"/>
  <c r="H9" i="6"/>
  <c r="E28" i="6" s="1"/>
  <c r="I11" i="6"/>
  <c r="J16" i="6"/>
  <c r="I8" i="6"/>
  <c r="B27" i="6"/>
  <c r="F27" i="6" s="1"/>
  <c r="J8" i="6"/>
  <c r="D102" i="7"/>
  <c r="C9" i="1" s="1"/>
  <c r="E99" i="7"/>
  <c r="C80" i="7"/>
  <c r="C81" i="7"/>
  <c r="J14" i="6"/>
  <c r="I6" i="6"/>
  <c r="J7" i="6"/>
  <c r="H12" i="6"/>
  <c r="E31" i="6" s="1"/>
  <c r="I7" i="6"/>
  <c r="H14" i="6"/>
  <c r="F15" i="8"/>
  <c r="C18" i="6" s="1"/>
  <c r="D18" i="6" s="1"/>
  <c r="B6" i="5"/>
  <c r="B11" i="5"/>
  <c r="B13" i="5"/>
  <c r="F31" i="6" l="1"/>
  <c r="F26" i="6"/>
  <c r="F28" i="6"/>
  <c r="F32" i="6" s="1"/>
  <c r="F99" i="7"/>
  <c r="F102" i="7" s="1"/>
  <c r="C33" i="1" s="1"/>
  <c r="C34" i="1" s="1"/>
  <c r="C35" i="1" s="1"/>
  <c r="E102" i="7"/>
  <c r="C21" i="1" s="1"/>
  <c r="C22" i="1" s="1"/>
  <c r="C23" i="1" s="1"/>
  <c r="D19" i="6"/>
  <c r="B20" i="5" s="1"/>
  <c r="I18" i="6"/>
  <c r="I19" i="6" s="1"/>
  <c r="D19" i="5" s="1"/>
  <c r="J18" i="6"/>
  <c r="J19" i="6" s="1"/>
  <c r="E10" i="5" s="1"/>
  <c r="E19" i="5" s="1"/>
  <c r="H18" i="6"/>
  <c r="H19" i="6" s="1"/>
  <c r="C10" i="5" s="1"/>
  <c r="C19" i="5" s="1"/>
  <c r="N42" i="2" l="1"/>
  <c r="N30" i="2"/>
  <c r="N19" i="2"/>
  <c r="D6" i="4" l="1"/>
  <c r="C8" i="2"/>
  <c r="C9" i="2" l="1"/>
  <c r="C6" i="4"/>
  <c r="H26" i="1"/>
  <c r="H14" i="1"/>
  <c r="G2" i="2"/>
  <c r="M2" i="2" s="1"/>
  <c r="E2" i="2"/>
  <c r="L2" i="2" s="1"/>
  <c r="C2" i="2"/>
  <c r="K2" i="2" s="1"/>
  <c r="B17" i="2"/>
  <c r="E15" i="3"/>
  <c r="E21" i="3" l="1"/>
  <c r="E20" i="3"/>
  <c r="E22" i="3"/>
  <c r="L3" i="2"/>
  <c r="E8" i="2" s="1"/>
  <c r="B28" i="2" s="1"/>
  <c r="D32" i="2" s="1"/>
  <c r="D33" i="2" s="1"/>
  <c r="M3" i="2"/>
  <c r="D9" i="2"/>
  <c r="E3" i="2"/>
  <c r="C3" i="2"/>
  <c r="F21" i="2"/>
  <c r="F22" i="2" s="1"/>
  <c r="J21" i="2"/>
  <c r="J22" i="2" s="1"/>
  <c r="B21" i="2"/>
  <c r="B22" i="2" s="1"/>
  <c r="C21" i="2"/>
  <c r="C22" i="2" s="1"/>
  <c r="G21" i="2"/>
  <c r="G22" i="2" s="1"/>
  <c r="K21" i="2"/>
  <c r="K22" i="2" s="1"/>
  <c r="I21" i="2"/>
  <c r="I22" i="2" s="1"/>
  <c r="D21" i="2"/>
  <c r="D22" i="2" s="1"/>
  <c r="H21" i="2"/>
  <c r="H22" i="2" s="1"/>
  <c r="L21" i="2"/>
  <c r="L22" i="2" s="1"/>
  <c r="E21" i="2"/>
  <c r="E22" i="2" s="1"/>
  <c r="M21" i="2"/>
  <c r="M22" i="2" s="1"/>
  <c r="G7" i="1"/>
  <c r="G8" i="1" l="1"/>
  <c r="C8" i="5" s="1"/>
  <c r="H4" i="1"/>
  <c r="H3" i="1"/>
  <c r="H5" i="1"/>
  <c r="G19" i="1"/>
  <c r="L32" i="2"/>
  <c r="L33" i="2" s="1"/>
  <c r="F32" i="2"/>
  <c r="F33" i="2" s="1"/>
  <c r="I32" i="2"/>
  <c r="I33" i="2" s="1"/>
  <c r="C32" i="2"/>
  <c r="C33" i="2" s="1"/>
  <c r="H32" i="2"/>
  <c r="H33" i="2" s="1"/>
  <c r="K32" i="2"/>
  <c r="K33" i="2" s="1"/>
  <c r="G32" i="2"/>
  <c r="G33" i="2" s="1"/>
  <c r="F3" i="2"/>
  <c r="J32" i="2"/>
  <c r="J33" i="2" s="1"/>
  <c r="M32" i="2"/>
  <c r="M33" i="2" s="1"/>
  <c r="B32" i="2"/>
  <c r="B33" i="2" s="1"/>
  <c r="E32" i="2"/>
  <c r="E33" i="2" s="1"/>
  <c r="D3" i="2"/>
  <c r="E23" i="3"/>
  <c r="G8" i="2"/>
  <c r="G9" i="2" s="1"/>
  <c r="B40" i="2" s="1"/>
  <c r="N21" i="2"/>
  <c r="N22" i="2" s="1"/>
  <c r="D11" i="2"/>
  <c r="C5" i="5" s="1"/>
  <c r="H10" i="5" s="1"/>
  <c r="G3" i="2"/>
  <c r="E9" i="2"/>
  <c r="F5" i="2"/>
  <c r="C10" i="1"/>
  <c r="C11" i="1" s="1"/>
  <c r="C9" i="5" s="1"/>
  <c r="G31" i="1" l="1"/>
  <c r="G20" i="1"/>
  <c r="G17" i="1"/>
  <c r="G16" i="1"/>
  <c r="G15" i="1"/>
  <c r="H3" i="2"/>
  <c r="E44" i="2"/>
  <c r="E45" i="2" s="1"/>
  <c r="K44" i="2"/>
  <c r="K45" i="2" s="1"/>
  <c r="F44" i="2"/>
  <c r="F45" i="2" s="1"/>
  <c r="L44" i="2"/>
  <c r="L45" i="2" s="1"/>
  <c r="G44" i="2"/>
  <c r="G45" i="2" s="1"/>
  <c r="B44" i="2"/>
  <c r="M44" i="2"/>
  <c r="M45" i="2" s="1"/>
  <c r="H44" i="2"/>
  <c r="H45" i="2" s="1"/>
  <c r="C44" i="2"/>
  <c r="C45" i="2" s="1"/>
  <c r="I44" i="2"/>
  <c r="I45" i="2" s="1"/>
  <c r="D44" i="2"/>
  <c r="D45" i="2" s="1"/>
  <c r="J44" i="2"/>
  <c r="J45" i="2" s="1"/>
  <c r="N32" i="2"/>
  <c r="N33" i="2" s="1"/>
  <c r="D5" i="2"/>
  <c r="E24" i="3"/>
  <c r="C11" i="5"/>
  <c r="C6" i="5"/>
  <c r="H9" i="2"/>
  <c r="F9" i="2"/>
  <c r="F11" i="2" s="1"/>
  <c r="D5" i="5" s="1"/>
  <c r="I10" i="5" s="1"/>
  <c r="G29" i="1" l="1"/>
  <c r="G27" i="1"/>
  <c r="G32" i="1"/>
  <c r="E8" i="5" s="1"/>
  <c r="E11" i="5" s="1"/>
  <c r="G28" i="1"/>
  <c r="B45" i="2"/>
  <c r="N44" i="2"/>
  <c r="N45" i="2" s="1"/>
  <c r="E25" i="3"/>
  <c r="C13" i="5"/>
  <c r="C15" i="5" s="1"/>
  <c r="D6" i="5"/>
  <c r="H11" i="2"/>
  <c r="H5" i="2"/>
  <c r="E26" i="3" l="1"/>
  <c r="H4" i="5"/>
  <c r="E6" i="5"/>
  <c r="E13" i="5" s="1"/>
  <c r="E15" i="5" s="1"/>
  <c r="E5" i="5"/>
  <c r="J10" i="5" s="1"/>
  <c r="E27" i="3" l="1"/>
  <c r="C17" i="5"/>
  <c r="C20" i="5" s="1"/>
  <c r="E17" i="5"/>
  <c r="E20" i="5" s="1"/>
  <c r="J4" i="5"/>
  <c r="E28" i="3" l="1"/>
  <c r="D8" i="5"/>
  <c r="D11" i="5" s="1"/>
  <c r="D13" i="5" s="1"/>
  <c r="D15" i="5" s="1"/>
  <c r="E29" i="3" l="1"/>
  <c r="D17" i="5"/>
  <c r="D20" i="5" s="1"/>
  <c r="I4" i="5"/>
  <c r="B24" i="5" l="1"/>
  <c r="B23" i="5"/>
  <c r="E30" i="3"/>
  <c r="E31" i="3" l="1"/>
  <c r="E32" i="3" l="1"/>
  <c r="E33" i="3" l="1"/>
  <c r="E34" i="3" l="1"/>
</calcChain>
</file>

<file path=xl/sharedStrings.xml><?xml version="1.0" encoding="utf-8"?>
<sst xmlns="http://schemas.openxmlformats.org/spreadsheetml/2006/main" count="486" uniqueCount="224">
  <si>
    <t>Costos Fijos</t>
  </si>
  <si>
    <t>Tipo</t>
  </si>
  <si>
    <t>Frecuencia</t>
  </si>
  <si>
    <t>Monto Mensual Aprox.</t>
  </si>
  <si>
    <t>Mensual</t>
  </si>
  <si>
    <t>ABL</t>
  </si>
  <si>
    <t>Agua</t>
  </si>
  <si>
    <t>Luz</t>
  </si>
  <si>
    <t>Salarios</t>
  </si>
  <si>
    <t>Total</t>
  </si>
  <si>
    <t>Contabilidad (Estudio)</t>
  </si>
  <si>
    <t>Internet</t>
  </si>
  <si>
    <t>$2000</t>
  </si>
  <si>
    <t>Alquiler</t>
  </si>
  <si>
    <t>Publicidad</t>
  </si>
  <si>
    <t>Mantenimiento</t>
  </si>
  <si>
    <t>Combustible</t>
  </si>
  <si>
    <t>Total Mensual</t>
  </si>
  <si>
    <t>Total Anual</t>
  </si>
  <si>
    <t>Año1</t>
  </si>
  <si>
    <t>Año2</t>
  </si>
  <si>
    <t>Año3</t>
  </si>
  <si>
    <t>Costos Variables</t>
  </si>
  <si>
    <t>Variable</t>
  </si>
  <si>
    <t>Costo fijo</t>
  </si>
  <si>
    <t>Costo Total</t>
  </si>
  <si>
    <t>% Incremento</t>
  </si>
  <si>
    <t>Ingresos Totales</t>
  </si>
  <si>
    <t>Equilibrio</t>
  </si>
  <si>
    <t>Perdida</t>
  </si>
  <si>
    <t>Detalle</t>
  </si>
  <si>
    <t>Crecimiento</t>
  </si>
  <si>
    <t>Mensual Año1</t>
  </si>
  <si>
    <t>Mensual Año2</t>
  </si>
  <si>
    <t>Mensual Año3</t>
  </si>
  <si>
    <t>Año 1</t>
  </si>
  <si>
    <t>Año 2</t>
  </si>
  <si>
    <t>Año 3</t>
  </si>
  <si>
    <t>Total AÑO 1</t>
  </si>
  <si>
    <t>Total AÑO 2</t>
  </si>
  <si>
    <t>Total AÑO 3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</si>
  <si>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</si>
  <si>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</si>
  <si>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</si>
  <si>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</si>
  <si>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</si>
  <si>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</si>
  <si>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</si>
  <si>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</si>
  <si>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</si>
  <si>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</si>
  <si>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</si>
  <si>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</si>
  <si>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</si>
  <si>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</si>
  <si>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</si>
  <si>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</si>
  <si>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</si>
  <si>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</si>
  <si>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</si>
  <si>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</si>
  <si>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</si>
  <si>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</si>
  <si>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</si>
  <si>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</si>
  <si>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</si>
  <si>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</si>
  <si>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</si>
  <si>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</si>
  <si>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</si>
  <si>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</si>
  <si>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</si>
  <si>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</si>
  <si>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</si>
  <si>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</si>
  <si>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</si>
  <si>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</si>
  <si>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$ Ventas</t>
  </si>
  <si>
    <t>Cantidad</t>
  </si>
  <si>
    <t>TIR</t>
  </si>
  <si>
    <t>VAN</t>
  </si>
  <si>
    <t>Tasa interes</t>
  </si>
  <si>
    <t>Flujo de Fondos Neto</t>
  </si>
  <si>
    <t>Amortizaciones</t>
  </si>
  <si>
    <t>Resultado final</t>
  </si>
  <si>
    <t>Imp Ganancias ( 35%)</t>
  </si>
  <si>
    <t>Resultado antes de Imp Gan</t>
  </si>
  <si>
    <t>Cash Outflow</t>
  </si>
  <si>
    <t>Ventas</t>
  </si>
  <si>
    <t>Cash Inflow</t>
  </si>
  <si>
    <t>3</t>
  </si>
  <si>
    <t>2</t>
  </si>
  <si>
    <t>1</t>
  </si>
  <si>
    <t>(0)</t>
  </si>
  <si>
    <t>Cash Flow (ARS)</t>
  </si>
  <si>
    <t>Costos Fijos Mensual Año 1</t>
  </si>
  <si>
    <t>Costos Fijos Mensual Año 2</t>
  </si>
  <si>
    <t>Costos Fijos Mensual Año 3</t>
  </si>
  <si>
    <t>Anual</t>
  </si>
  <si>
    <t>Monto Aprox.</t>
  </si>
  <si>
    <t>Costos Variables Año 1</t>
  </si>
  <si>
    <t>Costos Variables Año 2</t>
  </si>
  <si>
    <t>Costos Variables Año 3</t>
  </si>
  <si>
    <t>Año</t>
  </si>
  <si>
    <t>EQUIPAMIENTO</t>
  </si>
  <si>
    <t>Escritorios</t>
  </si>
  <si>
    <t>Sillas</t>
  </si>
  <si>
    <t>Impresora</t>
  </si>
  <si>
    <t>Celulares</t>
  </si>
  <si>
    <t>Notebooks</t>
  </si>
  <si>
    <t>Licencias</t>
  </si>
  <si>
    <t>Precio unitario</t>
  </si>
  <si>
    <t>Mesa</t>
  </si>
  <si>
    <t>SQL Server</t>
  </si>
  <si>
    <t>Visual Studio</t>
  </si>
  <si>
    <t>Windows Server</t>
  </si>
  <si>
    <t>Modelo de Datos</t>
  </si>
  <si>
    <t>Modelo de Analisis</t>
  </si>
  <si>
    <t>Modelo de Diseño</t>
  </si>
  <si>
    <t>Servicios</t>
  </si>
  <si>
    <t>Modulos</t>
  </si>
  <si>
    <t>Análisis</t>
  </si>
  <si>
    <t>Diseño</t>
  </si>
  <si>
    <t>Mapa de Navegacion</t>
  </si>
  <si>
    <t>Manejo de Errores</t>
  </si>
  <si>
    <t>Diseño de Pantallas</t>
  </si>
  <si>
    <t>Desarrollo</t>
  </si>
  <si>
    <t>QA</t>
  </si>
  <si>
    <t>Días</t>
  </si>
  <si>
    <t>Horas</t>
  </si>
  <si>
    <t>Costo por Hora</t>
  </si>
  <si>
    <t>Desarrollador</t>
  </si>
  <si>
    <t>Analista</t>
  </si>
  <si>
    <t>Costo</t>
  </si>
  <si>
    <t>Valor hora</t>
  </si>
  <si>
    <t>Puesto</t>
  </si>
  <si>
    <t>Inversion</t>
  </si>
  <si>
    <t>Amortizacion</t>
  </si>
  <si>
    <t>Muebles y útiles</t>
  </si>
  <si>
    <t>Hardware</t>
  </si>
  <si>
    <t>Sitio Web</t>
  </si>
  <si>
    <t>%</t>
  </si>
  <si>
    <t>Crecimiento vs año 1</t>
  </si>
  <si>
    <t>Crecimiento vs año 2</t>
  </si>
  <si>
    <t>Años</t>
  </si>
  <si>
    <t>Facturación Anual</t>
  </si>
  <si>
    <t>SAC</t>
  </si>
  <si>
    <t>Jubilación</t>
  </si>
  <si>
    <t>Obra Social</t>
  </si>
  <si>
    <t>Mes</t>
  </si>
  <si>
    <t>Bruto</t>
  </si>
  <si>
    <t>Neto</t>
  </si>
  <si>
    <t>Monto Anual</t>
  </si>
  <si>
    <t xml:space="preserve">Monto Sueldos </t>
  </si>
  <si>
    <t>Responsable Infraestructura</t>
  </si>
  <si>
    <t>Responsable Desarrollo</t>
  </si>
  <si>
    <t>Responsable Grandes Clientes</t>
  </si>
  <si>
    <t>Lider de Nuevos Mercados</t>
  </si>
  <si>
    <t>Responsable Promoción y Penetración.</t>
  </si>
  <si>
    <t>Gerente Técnica</t>
  </si>
  <si>
    <t>Gerente Comercial</t>
  </si>
  <si>
    <t>Gerente Marketing</t>
  </si>
  <si>
    <t>Referencia</t>
  </si>
  <si>
    <t>Imp Ganancias</t>
  </si>
  <si>
    <t>Imp Ingresos Brutos</t>
  </si>
  <si>
    <t>Costo Total y Punto de Equilibrio</t>
  </si>
  <si>
    <t>Cantidad de Ventas</t>
  </si>
  <si>
    <t>Costo Variable</t>
  </si>
  <si>
    <t>Venta por Sistema</t>
  </si>
  <si>
    <t>Precio</t>
  </si>
  <si>
    <t>Sistema</t>
  </si>
  <si>
    <t>Precio Sistema</t>
  </si>
  <si>
    <t>Ventas mensuales</t>
  </si>
  <si>
    <t>Ventas Anuales</t>
  </si>
  <si>
    <t>Costo Desarrollo SGPT</t>
  </si>
  <si>
    <t>Ingreso por venta</t>
  </si>
  <si>
    <t>Matriz de Riesgo</t>
  </si>
  <si>
    <t>Riesgo</t>
  </si>
  <si>
    <t>Causa</t>
  </si>
  <si>
    <t>Efecto</t>
  </si>
  <si>
    <t>Ocurrencia (P)</t>
  </si>
  <si>
    <t>Impacto</t>
  </si>
  <si>
    <t>Prioridad</t>
  </si>
  <si>
    <t>No se alcanzan las ventas esperadas</t>
  </si>
  <si>
    <t>La inflacion alcanza un porcentaje no esperado</t>
  </si>
  <si>
    <t>La coyuntura del pais no es buena economicamente</t>
  </si>
  <si>
    <t>Nuevos competidores</t>
  </si>
  <si>
    <t>Aumentan retenciones al turismo</t>
  </si>
  <si>
    <t>Nuevo metodo de recaudacion por el estado</t>
  </si>
  <si>
    <t>Se arranca con malas ventas los primeros dos años</t>
  </si>
  <si>
    <t>La inflacion es de un 30% constante por año</t>
  </si>
  <si>
    <t>Aumenta el costo de vida, y baja el empleo</t>
  </si>
  <si>
    <t>Aparecen nuevos competidores copiando nuestro sistema</t>
  </si>
  <si>
    <t>Menos inversores se interesan en invertir en turismo</t>
  </si>
  <si>
    <t>No se puede cubrir los costos minimos</t>
  </si>
  <si>
    <t>Los costos fijos aumentaran un 30%</t>
  </si>
  <si>
    <t>Las ventas diminuyen un 20%</t>
  </si>
  <si>
    <t>Menos inversores en codiciones de invertir. Las ventas disminuyen un 30%</t>
  </si>
  <si>
    <t>Baja</t>
  </si>
  <si>
    <t>Media</t>
  </si>
  <si>
    <t>Alta</t>
  </si>
  <si>
    <t>Probabilidad</t>
  </si>
  <si>
    <t>Valor de activos a los 3 años</t>
  </si>
  <si>
    <t>Anos Amortizacion</t>
  </si>
  <si>
    <t>Resultado parcial</t>
  </si>
  <si>
    <t>Analista desarrollador</t>
  </si>
  <si>
    <t>Gerente IT</t>
  </si>
  <si>
    <t>Gerente Mkt</t>
  </si>
  <si>
    <t>Tecnico de Infraestructura</t>
  </si>
  <si>
    <t>Responsable Gd Clientes</t>
  </si>
  <si>
    <t xml:space="preserve">Responsable promociones </t>
  </si>
  <si>
    <t>Responsable nv mercados</t>
  </si>
  <si>
    <t>Cargo</t>
  </si>
  <si>
    <t>Indeminazion</t>
  </si>
  <si>
    <t>Desarrollo del sitio</t>
  </si>
  <si>
    <t>A los 3 años</t>
  </si>
  <si>
    <t>Valor venta</t>
  </si>
  <si>
    <t>Prom ventas por mes</t>
  </si>
  <si>
    <t>Soporte Tecnico</t>
  </si>
  <si>
    <t>Año 2. Se suman 3 nuevos recursos y un nuevo Soporte Tecnico</t>
  </si>
  <si>
    <t>Año 3. Se suman 2 recursos, y otro Soporte Tecnico</t>
  </si>
  <si>
    <t>Salarios Variables</t>
  </si>
  <si>
    <t>Salarios Fijos</t>
  </si>
  <si>
    <t>Utilidad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</si>
</sst>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;[Red]&quot;$&quot;\ \-#,##0.00"/>
    <numFmt numFmtId="164" formatCode="[$$-2C0A]\ #,##0"/>
    <numFmt numFmtId="165" formatCode="_-&quot;£&quot;* #,##0.00_-;\-&quot;£&quot;* #,##0.00_-;_-&quot;£&quot;* &quot;-&quot;??_-;_-@_-"/>
    <numFmt numFmtId="166" formatCode="_ [$$-2C0A]\ * #,##0.00_ ;_ [$$-2C0A]\ * \-#,##0.00_ ;_ [$$-2C0A]\ * &quot;-&quot;??_ ;_ @_ "/>
    <numFmt numFmtId="167" formatCode="* #,##0_);* \(#,##0\);* &quot;0&quot;_)"/>
    <numFmt numFmtId="168" formatCode="0.0%"/>
    <numFmt numFmtId="169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40" applyNumberFormat="0" applyAlignment="0" applyProtection="0"/>
  </cellStyleXfs>
  <cellXfs count="223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/>
    <xf numFmtId="164" fontId="0" fillId="0" borderId="19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7" fillId="3" borderId="2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7" fillId="3" borderId="28" xfId="0" applyNumberFormat="1" applyFont="1" applyFill="1" applyBorder="1" applyAlignment="1">
      <alignment horizontal="left" vertical="center" indent="6"/>
    </xf>
    <xf numFmtId="1" fontId="0" fillId="0" borderId="0" xfId="0" applyNumberFormat="1"/>
    <xf numFmtId="0" fontId="0" fillId="0" borderId="14" xfId="0" applyFill="1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/>
    <xf numFmtId="164" fontId="2" fillId="0" borderId="12" xfId="0" applyNumberFormat="1" applyFont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9" fontId="1" fillId="0" borderId="0" xfId="0" applyNumberFormat="1" applyFont="1"/>
    <xf numFmtId="0" fontId="14" fillId="0" borderId="0" xfId="0" applyFont="1"/>
    <xf numFmtId="1" fontId="0" fillId="0" borderId="0" xfId="0" applyNumberFormat="1" applyAlignment="1">
      <alignment horizontal="center"/>
    </xf>
    <xf numFmtId="0" fontId="1" fillId="0" borderId="35" xfId="0" applyFont="1" applyFill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9" fontId="1" fillId="0" borderId="35" xfId="1" applyFont="1" applyBorder="1" applyAlignment="1">
      <alignment horizontal="center"/>
    </xf>
    <xf numFmtId="167" fontId="16" fillId="0" borderId="0" xfId="0" applyNumberFormat="1" applyFont="1"/>
    <xf numFmtId="167" fontId="17" fillId="0" borderId="0" xfId="0" applyNumberFormat="1" applyFont="1"/>
    <xf numFmtId="49" fontId="18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9" fillId="0" borderId="0" xfId="0" applyNumberFormat="1" applyFont="1"/>
    <xf numFmtId="167" fontId="19" fillId="0" borderId="0" xfId="0" applyNumberFormat="1" applyFont="1" applyAlignment="1">
      <alignment horizontal="right"/>
    </xf>
    <xf numFmtId="166" fontId="19" fillId="0" borderId="0" xfId="0" applyNumberFormat="1" applyFont="1" applyFill="1" applyAlignment="1">
      <alignment horizontal="right"/>
    </xf>
    <xf numFmtId="166" fontId="19" fillId="0" borderId="0" xfId="2" applyNumberFormat="1" applyFont="1" applyFill="1" applyAlignment="1">
      <alignment horizontal="right"/>
    </xf>
    <xf numFmtId="166" fontId="19" fillId="0" borderId="34" xfId="2" applyNumberFormat="1" applyFont="1" applyFill="1" applyBorder="1" applyAlignment="1">
      <alignment horizontal="right"/>
    </xf>
    <xf numFmtId="166" fontId="19" fillId="0" borderId="0" xfId="0" applyNumberFormat="1" applyFont="1" applyFill="1"/>
    <xf numFmtId="166" fontId="19" fillId="0" borderId="0" xfId="2" applyNumberFormat="1" applyFont="1" applyFill="1"/>
    <xf numFmtId="166" fontId="19" fillId="4" borderId="0" xfId="2" applyNumberFormat="1" applyFont="1" applyFill="1"/>
    <xf numFmtId="166" fontId="13" fillId="4" borderId="0" xfId="2" applyNumberFormat="1" applyFont="1" applyFill="1"/>
    <xf numFmtId="166" fontId="19" fillId="0" borderId="33" xfId="2" applyNumberFormat="1" applyFont="1" applyFill="1" applyBorder="1" applyAlignment="1">
      <alignment horizontal="right"/>
    </xf>
    <xf numFmtId="166" fontId="19" fillId="0" borderId="0" xfId="2" applyNumberFormat="1" applyFont="1" applyAlignment="1">
      <alignment horizontal="right"/>
    </xf>
    <xf numFmtId="166" fontId="19" fillId="0" borderId="32" xfId="2" applyNumberFormat="1" applyFont="1" applyBorder="1" applyAlignment="1">
      <alignment horizontal="right"/>
    </xf>
    <xf numFmtId="166" fontId="19" fillId="0" borderId="0" xfId="2" applyNumberFormat="1" applyFont="1"/>
    <xf numFmtId="166" fontId="19" fillId="0" borderId="31" xfId="2" applyNumberFormat="1" applyFont="1" applyBorder="1"/>
    <xf numFmtId="166" fontId="19" fillId="0" borderId="0" xfId="2" applyNumberFormat="1" applyFont="1" applyBorder="1"/>
    <xf numFmtId="166" fontId="13" fillId="2" borderId="0" xfId="2" applyNumberFormat="1" applyFont="1" applyFill="1"/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1" fillId="0" borderId="0" xfId="0" applyFont="1" applyBorder="1" applyAlignment="1">
      <alignment horizontal="center"/>
    </xf>
    <xf numFmtId="1" fontId="21" fillId="0" borderId="2" xfId="0" applyNumberFormat="1" applyFont="1" applyBorder="1"/>
    <xf numFmtId="1" fontId="21" fillId="0" borderId="4" xfId="0" applyNumberFormat="1" applyFont="1" applyBorder="1"/>
    <xf numFmtId="0" fontId="21" fillId="0" borderId="0" xfId="0" applyFont="1" applyBorder="1"/>
    <xf numFmtId="0" fontId="21" fillId="0" borderId="2" xfId="0" applyFont="1" applyBorder="1"/>
    <xf numFmtId="1" fontId="21" fillId="0" borderId="3" xfId="0" applyNumberFormat="1" applyFont="1" applyBorder="1"/>
    <xf numFmtId="1" fontId="21" fillId="0" borderId="5" xfId="0" applyNumberFormat="1" applyFont="1" applyBorder="1"/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21" fillId="0" borderId="1" xfId="0" applyFont="1" applyBorder="1"/>
    <xf numFmtId="9" fontId="21" fillId="0" borderId="1" xfId="1" applyFont="1" applyBorder="1"/>
    <xf numFmtId="9" fontId="21" fillId="0" borderId="6" xfId="1" applyFont="1" applyBorder="1"/>
    <xf numFmtId="1" fontId="21" fillId="0" borderId="21" xfId="0" applyNumberFormat="1" applyFont="1" applyBorder="1"/>
    <xf numFmtId="164" fontId="21" fillId="0" borderId="24" xfId="0" applyNumberFormat="1" applyFont="1" applyBorder="1" applyAlignment="1">
      <alignment horizontal="center"/>
    </xf>
    <xf numFmtId="164" fontId="21" fillId="0" borderId="1" xfId="0" applyNumberFormat="1" applyFont="1" applyBorder="1"/>
    <xf numFmtId="0" fontId="2" fillId="0" borderId="18" xfId="0" applyFont="1" applyBorder="1"/>
    <xf numFmtId="0" fontId="21" fillId="0" borderId="18" xfId="0" applyFont="1" applyBorder="1"/>
    <xf numFmtId="164" fontId="2" fillId="0" borderId="2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1" fillId="0" borderId="21" xfId="0" applyFont="1" applyBorder="1"/>
    <xf numFmtId="164" fontId="21" fillId="0" borderId="25" xfId="0" applyNumberFormat="1" applyFont="1" applyBorder="1"/>
    <xf numFmtId="0" fontId="21" fillId="0" borderId="4" xfId="0" applyFont="1" applyBorder="1"/>
    <xf numFmtId="1" fontId="21" fillId="0" borderId="20" xfId="0" applyNumberFormat="1" applyFont="1" applyBorder="1"/>
    <xf numFmtId="164" fontId="21" fillId="0" borderId="1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164" fontId="21" fillId="0" borderId="19" xfId="0" applyNumberFormat="1" applyFont="1" applyBorder="1" applyAlignment="1">
      <alignment horizontal="center"/>
    </xf>
    <xf numFmtId="9" fontId="21" fillId="0" borderId="1" xfId="0" applyNumberFormat="1" applyFont="1" applyBorder="1"/>
    <xf numFmtId="1" fontId="21" fillId="0" borderId="1" xfId="0" applyNumberFormat="1" applyFont="1" applyBorder="1"/>
    <xf numFmtId="1" fontId="21" fillId="0" borderId="0" xfId="0" applyNumberFormat="1" applyFont="1"/>
    <xf numFmtId="164" fontId="2" fillId="0" borderId="16" xfId="0" applyNumberFormat="1" applyFont="1" applyBorder="1"/>
    <xf numFmtId="164" fontId="2" fillId="0" borderId="0" xfId="0" applyNumberFormat="1" applyFont="1"/>
    <xf numFmtId="169" fontId="0" fillId="0" borderId="0" xfId="0" applyNumberFormat="1"/>
    <xf numFmtId="164" fontId="1" fillId="0" borderId="0" xfId="0" applyNumberFormat="1" applyFont="1"/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 vertical="center"/>
    </xf>
    <xf numFmtId="0" fontId="2" fillId="7" borderId="16" xfId="0" applyFont="1" applyFill="1" applyBorder="1"/>
    <xf numFmtId="0" fontId="21" fillId="7" borderId="16" xfId="0" applyFont="1" applyFill="1" applyBorder="1"/>
    <xf numFmtId="0" fontId="2" fillId="7" borderId="18" xfId="0" applyFont="1" applyFill="1" applyBorder="1"/>
    <xf numFmtId="0" fontId="2" fillId="7" borderId="22" xfId="0" applyFont="1" applyFill="1" applyBorder="1"/>
    <xf numFmtId="0" fontId="21" fillId="7" borderId="7" xfId="0" applyFont="1" applyFill="1" applyBorder="1"/>
    <xf numFmtId="0" fontId="21" fillId="7" borderId="30" xfId="0" applyFont="1" applyFill="1" applyBorder="1"/>
    <xf numFmtId="0" fontId="21" fillId="7" borderId="12" xfId="0" applyFont="1" applyFill="1" applyBorder="1"/>
    <xf numFmtId="0" fontId="21" fillId="7" borderId="5" xfId="0" applyFont="1" applyFill="1" applyBorder="1"/>
    <xf numFmtId="0" fontId="21" fillId="7" borderId="2" xfId="0" applyFont="1" applyFill="1" applyBorder="1"/>
    <xf numFmtId="0" fontId="8" fillId="7" borderId="2" xfId="0" applyFont="1" applyFill="1" applyBorder="1" applyAlignment="1">
      <alignment vertical="center"/>
    </xf>
    <xf numFmtId="0" fontId="9" fillId="7" borderId="21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21" fillId="7" borderId="0" xfId="0" applyFont="1" applyFill="1"/>
    <xf numFmtId="0" fontId="2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7" borderId="16" xfId="0" applyFont="1" applyFill="1" applyBorder="1" applyAlignment="1"/>
    <xf numFmtId="164" fontId="12" fillId="7" borderId="1" xfId="0" applyNumberFormat="1" applyFont="1" applyFill="1" applyBorder="1"/>
    <xf numFmtId="49" fontId="18" fillId="7" borderId="0" xfId="0" applyNumberFormat="1" applyFont="1" applyFill="1" applyAlignment="1">
      <alignment horizontal="center"/>
    </xf>
    <xf numFmtId="0" fontId="14" fillId="0" borderId="1" xfId="0" applyFont="1" applyBorder="1"/>
    <xf numFmtId="167" fontId="15" fillId="7" borderId="1" xfId="0" applyNumberFormat="1" applyFont="1" applyFill="1" applyBorder="1" applyAlignment="1">
      <alignment horizontal="center"/>
    </xf>
    <xf numFmtId="49" fontId="18" fillId="7" borderId="1" xfId="0" applyNumberFormat="1" applyFont="1" applyFill="1" applyBorder="1" applyAlignment="1">
      <alignment horizontal="center"/>
    </xf>
    <xf numFmtId="167" fontId="19" fillId="7" borderId="1" xfId="0" applyNumberFormat="1" applyFont="1" applyFill="1" applyBorder="1"/>
    <xf numFmtId="166" fontId="19" fillId="0" borderId="1" xfId="2" applyNumberFormat="1" applyFont="1" applyBorder="1"/>
    <xf numFmtId="167" fontId="15" fillId="0" borderId="1" xfId="0" applyNumberFormat="1" applyFont="1" applyBorder="1" applyAlignment="1">
      <alignment horizontal="center"/>
    </xf>
    <xf numFmtId="0" fontId="2" fillId="7" borderId="1" xfId="0" applyFont="1" applyFill="1" applyBorder="1"/>
    <xf numFmtId="0" fontId="2" fillId="7" borderId="0" xfId="0" applyFont="1" applyFill="1"/>
    <xf numFmtId="0" fontId="2" fillId="8" borderId="0" xfId="0" applyFont="1" applyFill="1"/>
    <xf numFmtId="0" fontId="21" fillId="8" borderId="0" xfId="0" applyFont="1" applyFill="1"/>
    <xf numFmtId="167" fontId="15" fillId="7" borderId="0" xfId="0" applyNumberFormat="1" applyFont="1" applyFill="1"/>
    <xf numFmtId="167" fontId="15" fillId="7" borderId="2" xfId="0" applyNumberFormat="1" applyFont="1" applyFill="1" applyBorder="1"/>
    <xf numFmtId="0" fontId="3" fillId="7" borderId="5" xfId="0" applyFont="1" applyFill="1" applyBorder="1"/>
    <xf numFmtId="0" fontId="3" fillId="7" borderId="21" xfId="0" applyFont="1" applyFill="1" applyBorder="1"/>
    <xf numFmtId="168" fontId="15" fillId="7" borderId="4" xfId="1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center"/>
    </xf>
    <xf numFmtId="9" fontId="3" fillId="4" borderId="19" xfId="1" applyFont="1" applyFill="1" applyBorder="1" applyAlignment="1">
      <alignment horizontal="right"/>
    </xf>
    <xf numFmtId="8" fontId="3" fillId="4" borderId="6" xfId="0" applyNumberFormat="1" applyFont="1" applyFill="1" applyBorder="1"/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3" borderId="0" xfId="0" applyFill="1" applyAlignment="1">
      <alignment wrapText="1"/>
    </xf>
    <xf numFmtId="0" fontId="22" fillId="9" borderId="0" xfId="3"/>
    <xf numFmtId="0" fontId="24" fillId="11" borderId="0" xfId="5"/>
    <xf numFmtId="0" fontId="23" fillId="10" borderId="0" xfId="4"/>
    <xf numFmtId="0" fontId="25" fillId="12" borderId="40" xfId="6"/>
    <xf numFmtId="164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164" fontId="0" fillId="13" borderId="0" xfId="0" applyNumberFormat="1" applyFill="1"/>
    <xf numFmtId="0" fontId="26" fillId="0" borderId="0" xfId="0" applyFont="1"/>
    <xf numFmtId="0" fontId="0" fillId="5" borderId="1" xfId="0" applyFill="1" applyBorder="1"/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1" fillId="7" borderId="14" xfId="0" applyFont="1" applyFill="1" applyBorder="1" applyAlignment="1">
      <alignment horizontal="center"/>
    </xf>
    <xf numFmtId="0" fontId="21" fillId="7" borderId="15" xfId="0" applyFont="1" applyFill="1" applyBorder="1" applyAlignment="1">
      <alignment horizontal="center"/>
    </xf>
    <xf numFmtId="0" fontId="21" fillId="7" borderId="20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6" borderId="1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7" borderId="16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7" borderId="10" xfId="0" applyFont="1" applyFill="1" applyBorder="1" applyAlignment="1">
      <alignment horizontal="center" vertical="center"/>
    </xf>
    <xf numFmtId="0" fontId="21" fillId="7" borderId="38" xfId="0" applyFont="1" applyFill="1" applyBorder="1" applyAlignment="1">
      <alignment horizontal="center" vertical="center"/>
    </xf>
    <xf numFmtId="0" fontId="21" fillId="7" borderId="39" xfId="0" applyFont="1" applyFill="1" applyBorder="1" applyAlignment="1">
      <alignment horizontal="center" vertical="center"/>
    </xf>
    <xf numFmtId="0" fontId="21" fillId="7" borderId="16" xfId="0" applyFont="1" applyFill="1" applyBorder="1" applyAlignment="1">
      <alignment horizontal="center"/>
    </xf>
    <xf numFmtId="0" fontId="21" fillId="7" borderId="34" xfId="0" applyFont="1" applyFill="1" applyBorder="1" applyAlignment="1">
      <alignment horizontal="center"/>
    </xf>
    <xf numFmtId="0" fontId="21" fillId="7" borderId="35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/>
    <xf numFmtId="0" fontId="0" fillId="7" borderId="10" xfId="0" applyFont="1" applyFill="1" applyBorder="1" applyAlignment="1">
      <alignment horizontal="center" vertical="center"/>
    </xf>
    <xf numFmtId="0" fontId="0" fillId="7" borderId="1" xfId="0" applyFont="1" applyFill="1" applyBorder="1"/>
    <xf numFmtId="164" fontId="0" fillId="7" borderId="1" xfId="0" applyNumberFormat="1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5" borderId="1" xfId="0" applyFill="1" applyBorder="1" applyAlignment="1">
      <alignment horizontal="center" vertical="center"/>
    </xf>
    <xf numFmtId="0" fontId="0" fillId="7" borderId="38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</cellXfs>
  <cellStyles count="7">
    <cellStyle name="Bad" xfId="4" builtinId="27"/>
    <cellStyle name="Good" xfId="3" builtinId="26"/>
    <cellStyle name="Input" xfId="6" builtinId="20"/>
    <cellStyle name="Moneda 2" xfId="2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4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'Mercado Meta'!$A$5</c:f>
              <c:strCache>
                <c:ptCount val="1"/>
                <c:pt idx="0">
                  <c:v>Cantidad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'Mercado Meta'!$B$4:$D$4</c:f>
              <c:strCache>
                <c:ptCount val="3"/>
                <c:pt idx="0">
                  <c:v>Total AÑO 1</c:v>
                </c:pt>
                <c:pt idx="1">
                  <c:v>Total AÑO 2</c:v>
                </c:pt>
                <c:pt idx="2">
                  <c:v>Total AÑO 3</c:v>
                </c:pt>
              </c:strCache>
            </c:strRef>
          </c:cat>
          <c:val>
            <c:numRef>
              <c:f>'Mercado Meta'!$B$5:$D$5</c:f>
              <c:numCache>
                <c:formatCode>0</c:formatCode>
                <c:ptCount val="3"/>
                <c:pt idx="0">
                  <c:v>135</c:v>
                </c:pt>
                <c:pt idx="1">
                  <c:v>190</c:v>
                </c:pt>
                <c:pt idx="2">
                  <c:v>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198592"/>
        <c:axId val="112608960"/>
      </c:barChart>
      <c:lineChart>
        <c:grouping val="standard"/>
        <c:varyColors val="0"/>
        <c:ser>
          <c:idx val="1"/>
          <c:order val="1"/>
          <c:tx>
            <c:strRef>
              <c:f>'Mercado Meta'!$A$6</c:f>
              <c:strCache>
                <c:ptCount val="1"/>
                <c:pt idx="0">
                  <c:v>Facturación Anual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Meta'!$B$6:$D$6</c:f>
              <c:numCache>
                <c:formatCode>[$$-2C0A]\ #,##0</c:formatCode>
                <c:ptCount val="3"/>
                <c:pt idx="0">
                  <c:v>2430000</c:v>
                </c:pt>
                <c:pt idx="1">
                  <c:v>3420000</c:v>
                </c:pt>
                <c:pt idx="2">
                  <c:v>6300000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99616"/>
        <c:axId val="112609536"/>
      </c:lineChart>
      <c:catAx>
        <c:axId val="1131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608960"/>
        <c:crosses val="autoZero"/>
        <c:auto val="1"/>
        <c:lblAlgn val="ctr"/>
        <c:lblOffset val="100"/>
        <c:noMultiLvlLbl val="0"/>
      </c:catAx>
      <c:valAx>
        <c:axId val="1126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198592"/>
        <c:crosses val="autoZero"/>
        <c:crossBetween val="between"/>
      </c:valAx>
      <c:valAx>
        <c:axId val="112609536"/>
        <c:scaling>
          <c:orientation val="minMax"/>
        </c:scaling>
        <c:delete val="0"/>
        <c:axPos val="r"/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199616"/>
        <c:crosses val="max"/>
        <c:crossBetween val="between"/>
      </c:valAx>
      <c:catAx>
        <c:axId val="113199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260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Mensual!$B$18</c:f>
              <c:strCache>
                <c:ptCount val="1"/>
                <c:pt idx="0">
                  <c:v>Año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Mensual!$B$20:$M$20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Mensual!$B$21:$M$21</c:f>
              <c:numCache>
                <c:formatCode>0</c:formatCode>
                <c:ptCount val="12"/>
                <c:pt idx="0">
                  <c:v>0</c:v>
                </c:pt>
                <c:pt idx="1">
                  <c:v>1.35</c:v>
                </c:pt>
                <c:pt idx="2">
                  <c:v>2.7</c:v>
                </c:pt>
                <c:pt idx="3">
                  <c:v>5.4</c:v>
                </c:pt>
                <c:pt idx="4">
                  <c:v>6.75</c:v>
                </c:pt>
                <c:pt idx="5">
                  <c:v>10.8</c:v>
                </c:pt>
                <c:pt idx="6">
                  <c:v>16.2</c:v>
                </c:pt>
                <c:pt idx="7">
                  <c:v>13.5</c:v>
                </c:pt>
                <c:pt idx="8">
                  <c:v>18.900000000000002</c:v>
                </c:pt>
                <c:pt idx="9">
                  <c:v>17.55</c:v>
                </c:pt>
                <c:pt idx="10">
                  <c:v>21.6</c:v>
                </c:pt>
                <c:pt idx="11">
                  <c:v>20.25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4-4E89-9BC6-0E0AC53E2562}"/>
            </c:ext>
          </c:extLst>
        </c:ser>
        <c:ser>
          <c:idx val="1"/>
          <c:order val="1"/>
          <c:tx>
            <c:strRef>
              <c:f>Mensual!$B$15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Mensual!$B$23:$M$23</c:f>
              <c:numCache>
                <c:formatCode>General</c:formatCode>
                <c:ptCount val="12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11.25</c:v>
                </c:pt>
                <c:pt idx="11">
                  <c:v>11.25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64-4E89-9BC6-0E0AC53E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18080"/>
        <c:axId val="112611840"/>
      </c:lineChart>
      <c:catAx>
        <c:axId val="113518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611840"/>
        <c:crosses val="autoZero"/>
        <c:auto val="1"/>
        <c:lblAlgn val="ctr"/>
        <c:lblOffset val="100"/>
        <c:noMultiLvlLbl val="0"/>
      </c:catAx>
      <c:valAx>
        <c:axId val="11261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5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Mensual!$B$29</c:f>
              <c:strCache>
                <c:ptCount val="1"/>
                <c:pt idx="0">
                  <c:v>Año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Mensual!$B$32:$M$32</c:f>
              <c:numCache>
                <c:formatCode>0</c:formatCode>
                <c:ptCount val="12"/>
                <c:pt idx="0">
                  <c:v>15.200000000000001</c:v>
                </c:pt>
                <c:pt idx="1">
                  <c:v>17.099999999999998</c:v>
                </c:pt>
                <c:pt idx="2">
                  <c:v>11.4</c:v>
                </c:pt>
                <c:pt idx="3">
                  <c:v>13.3</c:v>
                </c:pt>
                <c:pt idx="4">
                  <c:v>11.4</c:v>
                </c:pt>
                <c:pt idx="5">
                  <c:v>13.3</c:v>
                </c:pt>
                <c:pt idx="6">
                  <c:v>11.4</c:v>
                </c:pt>
                <c:pt idx="7">
                  <c:v>17.099999999999998</c:v>
                </c:pt>
                <c:pt idx="8">
                  <c:v>15.200000000000001</c:v>
                </c:pt>
                <c:pt idx="9">
                  <c:v>19</c:v>
                </c:pt>
                <c:pt idx="10">
                  <c:v>22.8</c:v>
                </c:pt>
                <c:pt idx="11">
                  <c:v>22.8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9-45BE-AF5B-4E5F783DE686}"/>
            </c:ext>
          </c:extLst>
        </c:ser>
        <c:ser>
          <c:idx val="1"/>
          <c:order val="1"/>
          <c:tx>
            <c:strRef>
              <c:f>Mensual!$B$26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Mensual!$B$34:$M$34</c:f>
              <c:numCache>
                <c:formatCode>General</c:formatCode>
                <c:ptCount val="12"/>
                <c:pt idx="0">
                  <c:v>15.833333333333334</c:v>
                </c:pt>
                <c:pt idx="1">
                  <c:v>15.833333333333334</c:v>
                </c:pt>
                <c:pt idx="2">
                  <c:v>15.833333333333334</c:v>
                </c:pt>
                <c:pt idx="3">
                  <c:v>15.833333333333334</c:v>
                </c:pt>
                <c:pt idx="4">
                  <c:v>15.833333333333334</c:v>
                </c:pt>
                <c:pt idx="5">
                  <c:v>15.833333333333334</c:v>
                </c:pt>
                <c:pt idx="6">
                  <c:v>15.833333333333334</c:v>
                </c:pt>
                <c:pt idx="7">
                  <c:v>15.833333333333334</c:v>
                </c:pt>
                <c:pt idx="8">
                  <c:v>15.833333333333334</c:v>
                </c:pt>
                <c:pt idx="9">
                  <c:v>15.833333333333334</c:v>
                </c:pt>
                <c:pt idx="10">
                  <c:v>15.833333333333334</c:v>
                </c:pt>
                <c:pt idx="11">
                  <c:v>15.833333333333334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9-45BE-AF5B-4E5F783D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19104"/>
        <c:axId val="112614144"/>
      </c:lineChart>
      <c:catAx>
        <c:axId val="11351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614144"/>
        <c:crosses val="autoZero"/>
        <c:auto val="1"/>
        <c:lblAlgn val="ctr"/>
        <c:lblOffset val="100"/>
        <c:noMultiLvlLbl val="0"/>
      </c:catAx>
      <c:valAx>
        <c:axId val="112614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5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Año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Mensual!$B$41</c:f>
              <c:strCache>
                <c:ptCount val="1"/>
                <c:pt idx="0">
                  <c:v>Año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Mensual!$B$44:$M$44</c:f>
              <c:numCache>
                <c:formatCode>0</c:formatCode>
                <c:ptCount val="12"/>
                <c:pt idx="0">
                  <c:v>28</c:v>
                </c:pt>
                <c:pt idx="1">
                  <c:v>24.500000000000004</c:v>
                </c:pt>
                <c:pt idx="2">
                  <c:v>21</c:v>
                </c:pt>
                <c:pt idx="3">
                  <c:v>31.5</c:v>
                </c:pt>
                <c:pt idx="4">
                  <c:v>28</c:v>
                </c:pt>
                <c:pt idx="5">
                  <c:v>26.25</c:v>
                </c:pt>
                <c:pt idx="6">
                  <c:v>24.500000000000004</c:v>
                </c:pt>
                <c:pt idx="7">
                  <c:v>28</c:v>
                </c:pt>
                <c:pt idx="8">
                  <c:v>28</c:v>
                </c:pt>
                <c:pt idx="9">
                  <c:v>31.5</c:v>
                </c:pt>
                <c:pt idx="10">
                  <c:v>38.5</c:v>
                </c:pt>
                <c:pt idx="11">
                  <c:v>40.25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D-4F42-A326-E9F2BAABD643}"/>
            </c:ext>
          </c:extLst>
        </c:ser>
        <c:ser>
          <c:idx val="1"/>
          <c:order val="1"/>
          <c:tx>
            <c:strRef>
              <c:f>Mensual!$B$38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Mensual!$B$46:$M$46</c:f>
              <c:numCache>
                <c:formatCode>General</c:formatCode>
                <c:ptCount val="12"/>
                <c:pt idx="0">
                  <c:v>29.166666666666668</c:v>
                </c:pt>
                <c:pt idx="1">
                  <c:v>29.166666666666668</c:v>
                </c:pt>
                <c:pt idx="2">
                  <c:v>29.166666666666668</c:v>
                </c:pt>
                <c:pt idx="3">
                  <c:v>29.166666666666668</c:v>
                </c:pt>
                <c:pt idx="4">
                  <c:v>29.166666666666668</c:v>
                </c:pt>
                <c:pt idx="5">
                  <c:v>29.166666666666668</c:v>
                </c:pt>
                <c:pt idx="6">
                  <c:v>29.166666666666668</c:v>
                </c:pt>
                <c:pt idx="7">
                  <c:v>29.166666666666668</c:v>
                </c:pt>
                <c:pt idx="8">
                  <c:v>29.166666666666668</c:v>
                </c:pt>
                <c:pt idx="9">
                  <c:v>29.166666666666668</c:v>
                </c:pt>
                <c:pt idx="10">
                  <c:v>29.166666666666668</c:v>
                </c:pt>
                <c:pt idx="11">
                  <c:v>29.166666666666668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F42-A326-E9F2BAAB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19616"/>
        <c:axId val="113894528"/>
      </c:lineChart>
      <c:catAx>
        <c:axId val="11351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894528"/>
        <c:crosses val="autoZero"/>
        <c:auto val="1"/>
        <c:lblAlgn val="ctr"/>
        <c:lblOffset val="100"/>
        <c:noMultiLvlLbl val="0"/>
      </c:catAx>
      <c:valAx>
        <c:axId val="113894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5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Utilidad Meta. Costos de la compañia</a:t>
            </a:r>
          </a:p>
        </c:rich>
      </c:tx>
      <c:layout>
        <c:manualLayout>
          <c:xMode val="edge"/>
          <c:yMode val="edge"/>
          <c:x val="0.31304027291206915"/>
          <c:y val="2.67724658208826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76937502627723E-2"/>
          <c:y val="0.18963249516441005"/>
          <c:w val="0.75308629602433441"/>
          <c:h val="0.68218746351096815"/>
        </c:manualLayout>
      </c:layout>
      <c:lineChart>
        <c:grouping val="standard"/>
        <c:varyColors val="0"/>
        <c:ser>
          <c:idx val="0"/>
          <c:order val="0"/>
          <c:tx>
            <c:strRef>
              <c:f>'Estrategia de precio'!$C$19</c:f>
              <c:strCache>
                <c:ptCount val="1"/>
                <c:pt idx="0">
                  <c:v>Costo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precio'!$B$20:$B$34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'Estrategia de precio'!$C$20:$C$34</c:f>
              <c:numCache>
                <c:formatCode>[$$-2C0A]\ #,##0</c:formatCode>
                <c:ptCount val="15"/>
                <c:pt idx="0">
                  <c:v>150700</c:v>
                </c:pt>
                <c:pt idx="1">
                  <c:v>150700</c:v>
                </c:pt>
                <c:pt idx="2">
                  <c:v>150700</c:v>
                </c:pt>
                <c:pt idx="3">
                  <c:v>150700</c:v>
                </c:pt>
                <c:pt idx="4">
                  <c:v>150700</c:v>
                </c:pt>
                <c:pt idx="5">
                  <c:v>150700</c:v>
                </c:pt>
                <c:pt idx="6">
                  <c:v>150700</c:v>
                </c:pt>
                <c:pt idx="7">
                  <c:v>150700</c:v>
                </c:pt>
                <c:pt idx="8">
                  <c:v>150700</c:v>
                </c:pt>
                <c:pt idx="9">
                  <c:v>150700</c:v>
                </c:pt>
                <c:pt idx="10">
                  <c:v>150700</c:v>
                </c:pt>
                <c:pt idx="11">
                  <c:v>150700</c:v>
                </c:pt>
                <c:pt idx="12">
                  <c:v>150700</c:v>
                </c:pt>
                <c:pt idx="13">
                  <c:v>150700</c:v>
                </c:pt>
                <c:pt idx="14">
                  <c:v>150700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1-427A-A788-E48711CB038E}"/>
            </c:ext>
          </c:extLst>
        </c:ser>
        <c:ser>
          <c:idx val="1"/>
          <c:order val="1"/>
          <c:tx>
            <c:strRef>
              <c:f>'Estrategia de precio'!$E$19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precio'!$B$20:$B$34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'Estrategia de precio'!$E$20:$E$34</c:f>
              <c:numCache>
                <c:formatCode>[$$-2C0A]\ #,##0</c:formatCode>
                <c:ptCount val="15"/>
                <c:pt idx="0">
                  <c:v>177000</c:v>
                </c:pt>
                <c:pt idx="1">
                  <c:v>178315</c:v>
                </c:pt>
                <c:pt idx="2">
                  <c:v>179695.75</c:v>
                </c:pt>
                <c:pt idx="3">
                  <c:v>181145.53750000001</c:v>
                </c:pt>
                <c:pt idx="4">
                  <c:v>182667.81437500002</c:v>
                </c:pt>
                <c:pt idx="5">
                  <c:v>184266.20509375</c:v>
                </c:pt>
                <c:pt idx="6">
                  <c:v>185944.5153484375</c:v>
                </c:pt>
                <c:pt idx="7">
                  <c:v>187706.74111585939</c:v>
                </c:pt>
                <c:pt idx="8">
                  <c:v>189557.07817165236</c:v>
                </c:pt>
                <c:pt idx="9">
                  <c:v>191499.93208023498</c:v>
                </c:pt>
                <c:pt idx="10">
                  <c:v>193539.92868424673</c:v>
                </c:pt>
                <c:pt idx="11">
                  <c:v>195681.92511845907</c:v>
                </c:pt>
                <c:pt idx="12">
                  <c:v>197931.02137438202</c:v>
                </c:pt>
                <c:pt idx="13">
                  <c:v>200292.57244310115</c:v>
                </c:pt>
                <c:pt idx="14">
                  <c:v>202772.2010652562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1-427A-A788-E48711CB038E}"/>
            </c:ext>
          </c:extLst>
        </c:ser>
        <c:ser>
          <c:idx val="2"/>
          <c:order val="2"/>
          <c:tx>
            <c:strRef>
              <c:f>'Estrategia de precio'!$F$19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9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'Estrategia de precio'!$B$20:$B$34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'Estrategia de precio'!$F$20:$F$34</c:f>
              <c:numCache>
                <c:formatCode>[$$-2C0A]\ #,##0</c:formatCode>
                <c:ptCount val="15"/>
                <c:pt idx="0">
                  <c:v>18000</c:v>
                </c:pt>
                <c:pt idx="1">
                  <c:v>36000</c:v>
                </c:pt>
                <c:pt idx="2">
                  <c:v>54000</c:v>
                </c:pt>
                <c:pt idx="3">
                  <c:v>72000</c:v>
                </c:pt>
                <c:pt idx="4">
                  <c:v>90000</c:v>
                </c:pt>
                <c:pt idx="5">
                  <c:v>108000</c:v>
                </c:pt>
                <c:pt idx="6">
                  <c:v>126000</c:v>
                </c:pt>
                <c:pt idx="7">
                  <c:v>144000</c:v>
                </c:pt>
                <c:pt idx="8">
                  <c:v>162000</c:v>
                </c:pt>
                <c:pt idx="9">
                  <c:v>180000</c:v>
                </c:pt>
                <c:pt idx="10">
                  <c:v>198000</c:v>
                </c:pt>
                <c:pt idx="11">
                  <c:v>216000</c:v>
                </c:pt>
                <c:pt idx="12">
                  <c:v>234000</c:v>
                </c:pt>
                <c:pt idx="13">
                  <c:v>252000</c:v>
                </c:pt>
                <c:pt idx="14">
                  <c:v>270000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31-427A-A788-E48711C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16544"/>
        <c:axId val="113896832"/>
      </c:lineChart>
      <c:catAx>
        <c:axId val="113516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896832"/>
        <c:crosses val="autoZero"/>
        <c:auto val="1"/>
        <c:lblAlgn val="ctr"/>
        <c:lblOffset val="100"/>
        <c:noMultiLvlLbl val="0"/>
      </c:catAx>
      <c:valAx>
        <c:axId val="11389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5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8</xdr:row>
      <xdr:rowOff>190499</xdr:rowOff>
    </xdr:from>
    <xdr:to>
      <xdr:col>2</xdr:col>
      <xdr:colOff>1058333</xdr:colOff>
      <xdr:row>28</xdr:row>
      <xdr:rowOff>169333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48</xdr:row>
      <xdr:rowOff>110729</xdr:rowOff>
    </xdr:from>
    <xdr:to>
      <xdr:col>6</xdr:col>
      <xdr:colOff>940591</xdr:colOff>
      <xdr:row>62</xdr:row>
      <xdr:rowOff>234554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113108</xdr:colOff>
      <xdr:row>48</xdr:row>
      <xdr:rowOff>122632</xdr:rowOff>
    </xdr:from>
    <xdr:to>
      <xdr:col>14</xdr:col>
      <xdr:colOff>166687</xdr:colOff>
      <xdr:row>62</xdr:row>
      <xdr:rowOff>226218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</xdr:colOff>
      <xdr:row>63</xdr:row>
      <xdr:rowOff>205977</xdr:rowOff>
    </xdr:from>
    <xdr:to>
      <xdr:col>6</xdr:col>
      <xdr:colOff>916780</xdr:colOff>
      <xdr:row>78</xdr:row>
      <xdr:rowOff>91677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468840</xdr:colOff>
      <xdr:row>15</xdr:row>
      <xdr:rowOff>33867</xdr:rowOff>
    </xdr:from>
    <xdr:to>
      <xdr:col>17</xdr:col>
      <xdr:colOff>677333</xdr:colOff>
      <xdr:row>41</xdr:row>
      <xdr:rowOff>5292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756301</xdr:colOff>
      <xdr:row>22</xdr:row>
      <xdr:rowOff>57150</xdr:rowOff>
    </xdr:from>
    <xdr:to>
      <xdr:col>16</xdr:col>
      <xdr:colOff>723901</xdr:colOff>
      <xdr:row>24</xdr:row>
      <xdr:rowOff>87721</xdr:rowOff>
    </xdr:to>
    <xdr:cxnSp macro="">
      <xdr:nvCxnSpPr>
        <xdr:cNvPr id="8" name="Conector recto de flecha 7"/>
        <xdr:cNvCxnSpPr/>
      </xdr:nvCxnSpPr>
      <xdr:spPr>
        <a:xfrm flipH="1">
          <a:off x="15481951" y="4333875"/>
          <a:ext cx="729600" cy="41157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565149</xdr:colOff>
      <xdr:row>38</xdr:row>
      <xdr:rowOff>53974</xdr:rowOff>
    </xdr:from>
    <xdr:to>
      <xdr:col>12</xdr:col>
      <xdr:colOff>433916</xdr:colOff>
      <xdr:row>39</xdr:row>
      <xdr:rowOff>139699</xdr:rowOff>
    </xdr:to>
    <xdr:sp macro="" textlink="">
      <xdr:nvSpPr>
        <xdr:cNvPr id="9" name="CuadroTexto 8"/>
        <xdr:cNvSpPr txBox="1"/>
      </xdr:nvSpPr>
      <xdr:spPr>
        <a:xfrm>
          <a:off x="11476566" y="7388224"/>
          <a:ext cx="1392767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tx1"/>
              </a:solidFill>
            </a:rPr>
            <a:t>Cantidad</a:t>
          </a:r>
          <a:r>
            <a:rPr lang="es-AR" sz="1100" b="1" baseline="0">
              <a:solidFill>
                <a:schemeClr val="tx1"/>
              </a:solidFill>
            </a:rPr>
            <a:t> de Eventos</a:t>
          </a:r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114300</xdr:colOff>
      <xdr:row>24</xdr:row>
      <xdr:rowOff>180975</xdr:rowOff>
    </xdr:from>
    <xdr:to>
      <xdr:col>13</xdr:col>
      <xdr:colOff>2116</xdr:colOff>
      <xdr:row>25</xdr:row>
      <xdr:rowOff>183092</xdr:rowOff>
    </xdr:to>
    <xdr:cxnSp macro="">
      <xdr:nvCxnSpPr>
        <xdr:cNvPr id="11" name="Conector recto de flecha 10"/>
        <xdr:cNvCxnSpPr/>
      </xdr:nvCxnSpPr>
      <xdr:spPr>
        <a:xfrm>
          <a:off x="12811125" y="4838700"/>
          <a:ext cx="649816" cy="192617"/>
        </a:xfrm>
        <a:prstGeom prst="straightConnector1">
          <a:avLst/>
        </a:prstGeom>
        <a:ln w="12700">
          <a:solidFill>
            <a:schemeClr val="accent6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757769</xdr:colOff>
      <xdr:row>25</xdr:row>
      <xdr:rowOff>132292</xdr:rowOff>
    </xdr:from>
    <xdr:to>
      <xdr:col>13</xdr:col>
      <xdr:colOff>281519</xdr:colOff>
      <xdr:row>27</xdr:row>
      <xdr:rowOff>27517</xdr:rowOff>
    </xdr:to>
    <xdr:sp macro="" textlink="">
      <xdr:nvSpPr>
        <xdr:cNvPr id="12" name="Elipse 11"/>
        <xdr:cNvSpPr/>
      </xdr:nvSpPr>
      <xdr:spPr>
        <a:xfrm>
          <a:off x="13454594" y="4980517"/>
          <a:ext cx="285750" cy="276225"/>
        </a:xfrm>
        <a:prstGeom prst="ellipse">
          <a:avLst/>
        </a:prstGeom>
        <a:noFill/>
        <a:ln w="25400" cmpd="sng">
          <a:solidFill>
            <a:schemeClr val="accent6"/>
          </a:solidFill>
          <a:prstDash val="soli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0.86887</cdr:x>
      <cdr:y>0.20761</cdr:y>
    </cdr:from>
    <cdr:to>
      <cdr:x>0.98645</cdr:x>
      <cdr:y>0.27531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464006" y="1022349"/>
          <a:ext cx="1010070" cy="3333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0">
              <a:solidFill>
                <a:schemeClr val="tx1"/>
              </a:solidFill>
            </a:rPr>
            <a:t>Utilidad Meta</a:t>
          </a:r>
        </a:p>
      </cdr:txBody>
    </cdr:sp>
  </cdr:relSizeAnchor>
  <cdr:relSizeAnchor xmlns:cdr="http://schemas.openxmlformats.org/drawingml/2006/chartDrawing">
    <cdr:from>
      <cdr:x>0.37815</cdr:x>
      <cdr:y>0.31464</cdr:y>
    </cdr:from>
    <cdr:to>
      <cdr:x>0.53764</cdr:x>
      <cdr:y>0.3746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3313312" y="1549433"/>
          <a:ext cx="1397442" cy="2952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>
              <a:solidFill>
                <a:schemeClr val="tx1"/>
              </a:solidFill>
            </a:rPr>
            <a:t>Punto de Equilibrio</a:t>
          </a:r>
        </a:p>
      </cdr:txBody>
    </cdr:sp>
  </cdr:relSizeAnchor>
  <cdr:relSizeAnchor xmlns:cdr="http://schemas.openxmlformats.org/drawingml/2006/chartDrawing">
    <cdr:from>
      <cdr:x>0.61068</cdr:x>
      <cdr:y>0.25954</cdr:y>
    </cdr:from>
    <cdr:to>
      <cdr:x>0.83648</cdr:x>
      <cdr:y>0.40384</cdr:y>
    </cdr:to>
    <cdr:sp macro="" textlink="">
      <cdr:nvSpPr>
        <cdr:cNvPr id="3" name="Isosceles Triangle 2"/>
        <cdr:cNvSpPr/>
      </cdr:nvSpPr>
      <cdr:spPr>
        <a:xfrm xmlns:a="http://schemas.openxmlformats.org/drawingml/2006/main" rot="21244780">
          <a:off x="5350706" y="1278065"/>
          <a:ext cx="1978492" cy="710633"/>
        </a:xfrm>
        <a:prstGeom xmlns:a="http://schemas.openxmlformats.org/drawingml/2006/main" prst="triangle">
          <a:avLst>
            <a:gd name="adj" fmla="val 100000"/>
          </a:avLst>
        </a:prstGeom>
        <a:solidFill xmlns:a="http://schemas.openxmlformats.org/drawingml/2006/main">
          <a:schemeClr val="accent6">
            <a:alpha val="36000"/>
          </a:schemeClr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showGridLines="0" zoomScale="90" zoomScaleNormal="90" workbookViewId="0">
      <selection activeCell="D5" sqref="D5"/>
    </sheetView>
  </sheetViews>
  <sheetFormatPr defaultColWidth="11.42578125" defaultRowHeight="15" x14ac:dyDescent="0.25"/>
  <cols>
    <col min="1" max="1" width="55.85546875" bestFit="1" customWidth="1"/>
    <col min="2" max="2" width="25.42578125" bestFit="1" customWidth="1"/>
    <col min="3" max="4" width="27.28515625" bestFit="1" customWidth="1"/>
    <col min="7" max="7" width="37.7109375" bestFit="1" customWidth="1"/>
  </cols>
  <sheetData>
    <row r="3" spans="1:5" ht="15.75" thickBot="1" x14ac:dyDescent="0.3"/>
    <row r="4" spans="1:5" ht="18.75" thickBot="1" x14ac:dyDescent="0.3">
      <c r="A4" s="163" t="s">
        <v>30</v>
      </c>
      <c r="B4" s="164" t="s">
        <v>38</v>
      </c>
      <c r="C4" s="164" t="s">
        <v>39</v>
      </c>
      <c r="D4" s="164" t="s">
        <v>40</v>
      </c>
    </row>
    <row r="5" spans="1:5" ht="18.75" thickBot="1" x14ac:dyDescent="0.3">
      <c r="A5" s="20" t="s">
        <v>166</v>
      </c>
      <c r="B5" s="22">
        <v>135</v>
      </c>
      <c r="C5" s="22">
        <v>190</v>
      </c>
      <c r="D5" s="22">
        <v>350</v>
      </c>
    </row>
    <row r="6" spans="1:5" ht="18.75" thickBot="1" x14ac:dyDescent="0.3">
      <c r="A6" s="72" t="s">
        <v>145</v>
      </c>
      <c r="B6" s="73">
        <f>E16*B5</f>
        <v>2430000</v>
      </c>
      <c r="C6" s="73">
        <f>E16*C5</f>
        <v>3420000</v>
      </c>
      <c r="D6" s="73">
        <f>E16*D5</f>
        <v>6300000</v>
      </c>
    </row>
    <row r="11" spans="1:5" ht="18" x14ac:dyDescent="0.25">
      <c r="D11" s="21" t="s">
        <v>175</v>
      </c>
    </row>
    <row r="12" spans="1:5" ht="15.75" thickBot="1" x14ac:dyDescent="0.3"/>
    <row r="13" spans="1:5" x14ac:dyDescent="0.25">
      <c r="D13" s="69" t="s">
        <v>168</v>
      </c>
    </row>
    <row r="14" spans="1:5" ht="15.75" thickBot="1" x14ac:dyDescent="0.3">
      <c r="D14" s="71" t="s">
        <v>170</v>
      </c>
    </row>
    <row r="15" spans="1:5" x14ac:dyDescent="0.25">
      <c r="E15" s="70" t="s">
        <v>169</v>
      </c>
    </row>
    <row r="16" spans="1:5" ht="15.75" thickBot="1" x14ac:dyDescent="0.3">
      <c r="E16" s="15">
        <v>18000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tabSelected="1" zoomScale="80" zoomScaleNormal="80" workbookViewId="0">
      <selection activeCell="E25" sqref="E25:G32"/>
    </sheetView>
  </sheetViews>
  <sheetFormatPr defaultColWidth="11.42578125" defaultRowHeight="15" x14ac:dyDescent="0.25"/>
  <cols>
    <col min="1" max="1" width="33.42578125" bestFit="1" customWidth="1"/>
    <col min="2" max="2" width="10.5703125" bestFit="1" customWidth="1"/>
    <col min="3" max="3" width="27.7109375" customWidth="1"/>
    <col min="5" max="5" width="31.5703125" customWidth="1"/>
    <col min="6" max="6" width="14.28515625" customWidth="1"/>
    <col min="7" max="7" width="27.28515625" customWidth="1"/>
    <col min="8" max="8" width="19.85546875" style="33" bestFit="1" customWidth="1"/>
  </cols>
  <sheetData>
    <row r="1" spans="1:10" ht="18.75" x14ac:dyDescent="0.3">
      <c r="A1" s="179" t="s">
        <v>95</v>
      </c>
      <c r="B1" s="180"/>
      <c r="C1" s="181"/>
      <c r="E1" s="179" t="s">
        <v>100</v>
      </c>
      <c r="F1" s="180"/>
      <c r="G1" s="181"/>
    </row>
    <row r="2" spans="1:10" x14ac:dyDescent="0.25">
      <c r="A2" s="1" t="s">
        <v>1</v>
      </c>
      <c r="B2" s="2" t="s">
        <v>2</v>
      </c>
      <c r="C2" s="3" t="s">
        <v>3</v>
      </c>
      <c r="E2" s="1" t="s">
        <v>1</v>
      </c>
      <c r="F2" s="2" t="s">
        <v>2</v>
      </c>
      <c r="G2" s="3" t="s">
        <v>3</v>
      </c>
      <c r="H2" s="45" t="s">
        <v>141</v>
      </c>
    </row>
    <row r="3" spans="1:10" x14ac:dyDescent="0.25">
      <c r="A3" s="4" t="s">
        <v>10</v>
      </c>
      <c r="B3" s="5" t="s">
        <v>4</v>
      </c>
      <c r="C3" s="9">
        <v>2500</v>
      </c>
      <c r="E3" s="4" t="s">
        <v>14</v>
      </c>
      <c r="F3" s="5" t="s">
        <v>23</v>
      </c>
      <c r="G3" s="9">
        <v>5000</v>
      </c>
      <c r="H3" s="46">
        <f>G3/$G$7</f>
        <v>0.19011406844106463</v>
      </c>
      <c r="I3" s="42"/>
    </row>
    <row r="4" spans="1:10" x14ac:dyDescent="0.25">
      <c r="A4" s="4" t="s">
        <v>13</v>
      </c>
      <c r="B4" s="5" t="s">
        <v>4</v>
      </c>
      <c r="C4" s="9">
        <v>12000</v>
      </c>
      <c r="E4" s="4" t="s">
        <v>15</v>
      </c>
      <c r="F4" s="5" t="s">
        <v>23</v>
      </c>
      <c r="G4" s="9">
        <v>1500</v>
      </c>
      <c r="H4" s="46">
        <f t="shared" ref="H4:H5" si="0">G4/$G$7</f>
        <v>5.7034220532319393E-2</v>
      </c>
    </row>
    <row r="5" spans="1:10" x14ac:dyDescent="0.25">
      <c r="A5" s="4" t="s">
        <v>11</v>
      </c>
      <c r="B5" s="5" t="s">
        <v>4</v>
      </c>
      <c r="C5" s="9" t="s">
        <v>12</v>
      </c>
      <c r="E5" s="4" t="s">
        <v>16</v>
      </c>
      <c r="F5" s="5" t="s">
        <v>23</v>
      </c>
      <c r="G5" s="9">
        <v>1800</v>
      </c>
      <c r="H5" s="46">
        <f t="shared" si="0"/>
        <v>6.8441064638783272E-2</v>
      </c>
      <c r="I5" s="28"/>
    </row>
    <row r="6" spans="1:10" ht="15.75" thickBot="1" x14ac:dyDescent="0.3">
      <c r="A6" s="4" t="s">
        <v>5</v>
      </c>
      <c r="B6" s="5" t="s">
        <v>4</v>
      </c>
      <c r="C6" s="9">
        <v>1300</v>
      </c>
      <c r="E6" s="4" t="s">
        <v>221</v>
      </c>
      <c r="F6" s="5"/>
      <c r="G6" s="9">
        <v>18000</v>
      </c>
      <c r="I6" s="28"/>
      <c r="J6" s="23"/>
    </row>
    <row r="7" spans="1:10" ht="15.75" thickBot="1" x14ac:dyDescent="0.3">
      <c r="A7" s="4" t="s">
        <v>6</v>
      </c>
      <c r="B7" s="5" t="s">
        <v>4</v>
      </c>
      <c r="C7" s="9">
        <v>500</v>
      </c>
      <c r="E7" s="7" t="s">
        <v>9</v>
      </c>
      <c r="F7" s="8"/>
      <c r="G7" s="13">
        <f>SUM(G3:G6)</f>
        <v>26300</v>
      </c>
    </row>
    <row r="8" spans="1:10" ht="19.5" thickBot="1" x14ac:dyDescent="0.35">
      <c r="A8" s="4" t="s">
        <v>7</v>
      </c>
      <c r="B8" s="5" t="s">
        <v>4</v>
      </c>
      <c r="C8" s="9">
        <v>2200</v>
      </c>
      <c r="E8" s="7"/>
      <c r="F8" s="30" t="s">
        <v>98</v>
      </c>
      <c r="G8" s="13">
        <f>G7*12</f>
        <v>315600</v>
      </c>
    </row>
    <row r="9" spans="1:10" ht="15.75" thickBot="1" x14ac:dyDescent="0.3">
      <c r="A9" s="10" t="s">
        <v>222</v>
      </c>
      <c r="B9" s="11" t="s">
        <v>4</v>
      </c>
      <c r="C9" s="12">
        <f>Recursos!D102</f>
        <v>130000</v>
      </c>
    </row>
    <row r="10" spans="1:10" ht="15.75" thickBot="1" x14ac:dyDescent="0.3">
      <c r="A10" s="7" t="s">
        <v>9</v>
      </c>
      <c r="B10" s="8"/>
      <c r="C10" s="13">
        <f>SUM(C3:C9)</f>
        <v>148500</v>
      </c>
    </row>
    <row r="11" spans="1:10" ht="19.5" thickBot="1" x14ac:dyDescent="0.35">
      <c r="A11" s="24"/>
      <c r="B11" s="31" t="s">
        <v>98</v>
      </c>
      <c r="C11" s="29">
        <f>C10*12</f>
        <v>1782000</v>
      </c>
    </row>
    <row r="12" spans="1:10" ht="15.75" thickBot="1" x14ac:dyDescent="0.3">
      <c r="A12" s="6"/>
    </row>
    <row r="13" spans="1:10" ht="18.75" x14ac:dyDescent="0.3">
      <c r="A13" s="179" t="s">
        <v>96</v>
      </c>
      <c r="B13" s="180"/>
      <c r="C13" s="181"/>
      <c r="E13" s="179" t="s">
        <v>101</v>
      </c>
      <c r="F13" s="180"/>
      <c r="G13" s="181"/>
      <c r="H13" s="47" t="s">
        <v>142</v>
      </c>
    </row>
    <row r="14" spans="1:10" x14ac:dyDescent="0.25">
      <c r="A14" s="1" t="s">
        <v>1</v>
      </c>
      <c r="B14" s="2" t="s">
        <v>2</v>
      </c>
      <c r="C14" s="3" t="s">
        <v>3</v>
      </c>
      <c r="E14" s="1" t="s">
        <v>1</v>
      </c>
      <c r="F14" s="2" t="s">
        <v>2</v>
      </c>
      <c r="G14" s="3" t="s">
        <v>99</v>
      </c>
      <c r="H14" s="48">
        <f>('Mercado Meta'!C5-'Mercado Meta'!B5)/'Mercado Meta'!B5</f>
        <v>0.40740740740740738</v>
      </c>
    </row>
    <row r="15" spans="1:10" x14ac:dyDescent="0.25">
      <c r="A15" s="4" t="s">
        <v>10</v>
      </c>
      <c r="B15" s="5" t="s">
        <v>4</v>
      </c>
      <c r="C15" s="9">
        <v>2500</v>
      </c>
      <c r="E15" s="4" t="s">
        <v>14</v>
      </c>
      <c r="F15" s="5" t="s">
        <v>23</v>
      </c>
      <c r="G15" s="9">
        <f>G19*H3</f>
        <v>7037.0370370370374</v>
      </c>
      <c r="I15" s="42"/>
    </row>
    <row r="16" spans="1:10" x14ac:dyDescent="0.25">
      <c r="A16" s="4" t="s">
        <v>13</v>
      </c>
      <c r="B16" s="5" t="s">
        <v>4</v>
      </c>
      <c r="C16" s="9">
        <v>12000</v>
      </c>
      <c r="E16" s="4" t="s">
        <v>15</v>
      </c>
      <c r="F16" s="5" t="s">
        <v>23</v>
      </c>
      <c r="G16" s="9">
        <f>G19*H4</f>
        <v>2111.1111111111113</v>
      </c>
    </row>
    <row r="17" spans="1:9" x14ac:dyDescent="0.25">
      <c r="A17" s="4" t="s">
        <v>11</v>
      </c>
      <c r="B17" s="5" t="s">
        <v>4</v>
      </c>
      <c r="C17" s="9" t="s">
        <v>12</v>
      </c>
      <c r="E17" s="4" t="s">
        <v>16</v>
      </c>
      <c r="F17" s="5" t="s">
        <v>23</v>
      </c>
      <c r="G17" s="9">
        <f>G19*H5</f>
        <v>2533.3333333333335</v>
      </c>
      <c r="H17" s="44"/>
      <c r="I17" s="28"/>
    </row>
    <row r="18" spans="1:9" ht="15.75" thickBot="1" x14ac:dyDescent="0.3">
      <c r="A18" s="4" t="s">
        <v>5</v>
      </c>
      <c r="B18" s="5" t="s">
        <v>4</v>
      </c>
      <c r="C18" s="9">
        <v>1300</v>
      </c>
      <c r="E18" s="4" t="s">
        <v>221</v>
      </c>
      <c r="F18" s="5"/>
      <c r="G18" s="9">
        <f>2*G6</f>
        <v>36000</v>
      </c>
      <c r="H18" s="44"/>
      <c r="I18" s="28"/>
    </row>
    <row r="19" spans="1:9" ht="15.75" thickBot="1" x14ac:dyDescent="0.3">
      <c r="A19" s="4" t="s">
        <v>6</v>
      </c>
      <c r="B19" s="5" t="s">
        <v>4</v>
      </c>
      <c r="C19" s="9">
        <v>500</v>
      </c>
      <c r="E19" s="7" t="s">
        <v>9</v>
      </c>
      <c r="F19" s="8"/>
      <c r="G19" s="13">
        <f>(G7*H14)+G7</f>
        <v>37014.814814814818</v>
      </c>
    </row>
    <row r="20" spans="1:9" ht="19.5" thickBot="1" x14ac:dyDescent="0.35">
      <c r="A20" s="4" t="s">
        <v>7</v>
      </c>
      <c r="B20" s="5" t="s">
        <v>4</v>
      </c>
      <c r="C20" s="9">
        <v>2200</v>
      </c>
      <c r="E20" s="7"/>
      <c r="F20" s="30" t="s">
        <v>98</v>
      </c>
      <c r="G20" s="13">
        <f>G19*12</f>
        <v>444177.77777777781</v>
      </c>
    </row>
    <row r="21" spans="1:9" ht="15.75" thickBot="1" x14ac:dyDescent="0.3">
      <c r="A21" s="10" t="s">
        <v>222</v>
      </c>
      <c r="B21" s="11" t="s">
        <v>4</v>
      </c>
      <c r="C21" s="12">
        <f>Recursos!E102</f>
        <v>224250</v>
      </c>
    </row>
    <row r="22" spans="1:9" ht="15.75" thickBot="1" x14ac:dyDescent="0.3">
      <c r="A22" s="7" t="s">
        <v>9</v>
      </c>
      <c r="B22" s="8"/>
      <c r="C22" s="13">
        <f>SUM(C15:C21)</f>
        <v>242750</v>
      </c>
    </row>
    <row r="23" spans="1:9" ht="19.5" thickBot="1" x14ac:dyDescent="0.35">
      <c r="A23" s="24"/>
      <c r="B23" s="31" t="s">
        <v>98</v>
      </c>
      <c r="C23" s="29">
        <f>C22*12</f>
        <v>2913000</v>
      </c>
    </row>
    <row r="24" spans="1:9" ht="15.75" thickBot="1" x14ac:dyDescent="0.3"/>
    <row r="25" spans="1:9" ht="18.75" x14ac:dyDescent="0.3">
      <c r="A25" s="179" t="s">
        <v>97</v>
      </c>
      <c r="B25" s="180"/>
      <c r="C25" s="181"/>
      <c r="E25" s="179" t="s">
        <v>102</v>
      </c>
      <c r="F25" s="180"/>
      <c r="G25" s="181"/>
      <c r="H25" s="47" t="s">
        <v>143</v>
      </c>
    </row>
    <row r="26" spans="1:9" x14ac:dyDescent="0.25">
      <c r="A26" s="1" t="s">
        <v>1</v>
      </c>
      <c r="B26" s="2" t="s">
        <v>2</v>
      </c>
      <c r="C26" s="3" t="s">
        <v>3</v>
      </c>
      <c r="E26" s="1" t="s">
        <v>1</v>
      </c>
      <c r="F26" s="2" t="s">
        <v>2</v>
      </c>
      <c r="G26" s="3" t="s">
        <v>99</v>
      </c>
      <c r="H26" s="48">
        <f>('Mercado Meta'!D5-'Mercado Meta'!C5)/'Mercado Meta'!C5</f>
        <v>0.84210526315789469</v>
      </c>
    </row>
    <row r="27" spans="1:9" x14ac:dyDescent="0.25">
      <c r="A27" s="4" t="s">
        <v>10</v>
      </c>
      <c r="B27" s="5" t="s">
        <v>4</v>
      </c>
      <c r="C27" s="9">
        <v>2500</v>
      </c>
      <c r="E27" s="4" t="s">
        <v>14</v>
      </c>
      <c r="F27" s="5" t="s">
        <v>23</v>
      </c>
      <c r="G27" s="9">
        <f>G31*H3</f>
        <v>12962.962962962964</v>
      </c>
      <c r="I27" s="42"/>
    </row>
    <row r="28" spans="1:9" x14ac:dyDescent="0.25">
      <c r="A28" s="4" t="s">
        <v>13</v>
      </c>
      <c r="B28" s="5" t="s">
        <v>4</v>
      </c>
      <c r="C28" s="9">
        <v>12000</v>
      </c>
      <c r="E28" s="4" t="s">
        <v>15</v>
      </c>
      <c r="F28" s="5" t="s">
        <v>23</v>
      </c>
      <c r="G28" s="9">
        <f>G31*H4</f>
        <v>3888.8888888888896</v>
      </c>
    </row>
    <row r="29" spans="1:9" x14ac:dyDescent="0.25">
      <c r="A29" s="4" t="s">
        <v>11</v>
      </c>
      <c r="B29" s="5" t="s">
        <v>4</v>
      </c>
      <c r="C29" s="9" t="s">
        <v>12</v>
      </c>
      <c r="E29" s="4" t="s">
        <v>16</v>
      </c>
      <c r="F29" s="5" t="s">
        <v>23</v>
      </c>
      <c r="G29" s="9">
        <f>G31*H5</f>
        <v>4666.6666666666679</v>
      </c>
      <c r="H29" s="44"/>
      <c r="I29" s="28"/>
    </row>
    <row r="30" spans="1:9" ht="15.75" thickBot="1" x14ac:dyDescent="0.3">
      <c r="A30" s="4" t="s">
        <v>5</v>
      </c>
      <c r="B30" s="5" t="s">
        <v>4</v>
      </c>
      <c r="C30" s="9">
        <v>1300</v>
      </c>
      <c r="E30" s="4" t="s">
        <v>221</v>
      </c>
      <c r="F30" s="5"/>
      <c r="G30" s="9">
        <f>G6*3</f>
        <v>54000</v>
      </c>
      <c r="H30" s="44"/>
      <c r="I30" s="28"/>
    </row>
    <row r="31" spans="1:9" ht="15.75" thickBot="1" x14ac:dyDescent="0.3">
      <c r="A31" s="4" t="s">
        <v>6</v>
      </c>
      <c r="B31" s="5" t="s">
        <v>4</v>
      </c>
      <c r="C31" s="9">
        <v>500</v>
      </c>
      <c r="E31" s="7" t="s">
        <v>9</v>
      </c>
      <c r="F31" s="8"/>
      <c r="G31" s="13">
        <f>(G19*H26)+G19</f>
        <v>68185.185185185197</v>
      </c>
    </row>
    <row r="32" spans="1:9" ht="19.5" thickBot="1" x14ac:dyDescent="0.35">
      <c r="A32" s="4" t="s">
        <v>7</v>
      </c>
      <c r="B32" s="5" t="s">
        <v>4</v>
      </c>
      <c r="C32" s="9">
        <v>2200</v>
      </c>
      <c r="E32" s="7"/>
      <c r="F32" s="30" t="s">
        <v>98</v>
      </c>
      <c r="G32" s="13">
        <f>G31*12</f>
        <v>818222.22222222236</v>
      </c>
    </row>
    <row r="33" spans="1:3" ht="15.75" thickBot="1" x14ac:dyDescent="0.3">
      <c r="A33" s="10" t="s">
        <v>222</v>
      </c>
      <c r="B33" s="11" t="s">
        <v>4</v>
      </c>
      <c r="C33" s="12">
        <f>+Recursos!F102</f>
        <v>292500</v>
      </c>
    </row>
    <row r="34" spans="1:3" ht="15.75" thickBot="1" x14ac:dyDescent="0.3">
      <c r="A34" s="7" t="s">
        <v>9</v>
      </c>
      <c r="B34" s="8"/>
      <c r="C34" s="13">
        <f>SUM(C27:C33)</f>
        <v>311000</v>
      </c>
    </row>
    <row r="35" spans="1:3" ht="19.5" thickBot="1" x14ac:dyDescent="0.35">
      <c r="A35" s="24"/>
      <c r="B35" s="31" t="s">
        <v>98</v>
      </c>
      <c r="C35" s="29">
        <f>C34*12</f>
        <v>3732000</v>
      </c>
    </row>
  </sheetData>
  <mergeCells count="6">
    <mergeCell ref="A1:C1"/>
    <mergeCell ref="E1:G1"/>
    <mergeCell ref="A13:C13"/>
    <mergeCell ref="A25:C25"/>
    <mergeCell ref="E13:G13"/>
    <mergeCell ref="E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zoomScale="70" zoomScaleNormal="70" workbookViewId="0">
      <selection activeCell="B41" sqref="B41:N45"/>
    </sheetView>
  </sheetViews>
  <sheetFormatPr defaultColWidth="11.42578125" defaultRowHeight="18.75" x14ac:dyDescent="0.3"/>
  <cols>
    <col min="1" max="1" width="11.42578125" style="74"/>
    <col min="2" max="2" width="28" style="74" bestFit="1" customWidth="1"/>
    <col min="3" max="3" width="15.140625" style="74" bestFit="1" customWidth="1"/>
    <col min="4" max="7" width="14.85546875" style="74" customWidth="1"/>
    <col min="8" max="8" width="17.42578125" style="74" bestFit="1" customWidth="1"/>
    <col min="9" max="9" width="14" style="74" customWidth="1"/>
    <col min="10" max="10" width="25.28515625" style="74" bestFit="1" customWidth="1"/>
    <col min="11" max="11" width="18.5703125" style="74" bestFit="1" customWidth="1"/>
    <col min="12" max="12" width="12.5703125" style="74" customWidth="1"/>
    <col min="13" max="13" width="12.5703125" style="74" bestFit="1" customWidth="1"/>
    <col min="14" max="14" width="14.7109375" style="74" bestFit="1" customWidth="1"/>
    <col min="15" max="15" width="11.42578125" style="74"/>
  </cols>
  <sheetData>
    <row r="1" spans="2:13" ht="19.5" thickBot="1" x14ac:dyDescent="0.35">
      <c r="C1" s="182" t="s">
        <v>32</v>
      </c>
      <c r="D1" s="183"/>
      <c r="E1" s="182" t="s">
        <v>33</v>
      </c>
      <c r="F1" s="183"/>
      <c r="G1" s="182" t="s">
        <v>34</v>
      </c>
      <c r="H1" s="183"/>
      <c r="I1" s="76"/>
      <c r="K1" s="129" t="s">
        <v>19</v>
      </c>
      <c r="L1" s="130" t="s">
        <v>20</v>
      </c>
      <c r="M1" s="131" t="s">
        <v>21</v>
      </c>
    </row>
    <row r="2" spans="2:13" x14ac:dyDescent="0.3">
      <c r="B2" s="125" t="s">
        <v>172</v>
      </c>
      <c r="C2" s="77">
        <f>'Mercado Meta'!B5/12</f>
        <v>11.25</v>
      </c>
      <c r="D2" s="78"/>
      <c r="E2" s="77">
        <f>'Mercado Meta'!C5/12</f>
        <v>15.833333333333334</v>
      </c>
      <c r="F2" s="78"/>
      <c r="G2" s="77">
        <f>'Mercado Meta'!D5/12</f>
        <v>29.166666666666668</v>
      </c>
      <c r="H2" s="78"/>
      <c r="I2" s="79"/>
      <c r="J2" s="133" t="s">
        <v>217</v>
      </c>
      <c r="K2" s="81">
        <f>C2</f>
        <v>11.25</v>
      </c>
      <c r="L2" s="81">
        <f>E2</f>
        <v>15.833333333333334</v>
      </c>
      <c r="M2" s="78">
        <f>G2</f>
        <v>29.166666666666668</v>
      </c>
    </row>
    <row r="3" spans="2:13" x14ac:dyDescent="0.3">
      <c r="B3" s="126" t="s">
        <v>17</v>
      </c>
      <c r="C3" s="82">
        <f>C2</f>
        <v>11.25</v>
      </c>
      <c r="D3" s="83">
        <f>C3*$L$11</f>
        <v>202500</v>
      </c>
      <c r="E3" s="82">
        <f>E2</f>
        <v>15.833333333333334</v>
      </c>
      <c r="F3" s="83">
        <f>E3*$L$11</f>
        <v>285000</v>
      </c>
      <c r="G3" s="82">
        <f>G2</f>
        <v>29.166666666666668</v>
      </c>
      <c r="H3" s="83">
        <f>G3*$L$11</f>
        <v>525000</v>
      </c>
      <c r="I3" s="84"/>
      <c r="J3" s="132" t="s">
        <v>31</v>
      </c>
      <c r="K3" s="85"/>
      <c r="L3" s="86">
        <f>(L2-K2)/K2</f>
        <v>0.40740740740740744</v>
      </c>
      <c r="M3" s="87">
        <f>(M2-L2)/L2</f>
        <v>0.84210526315789469</v>
      </c>
    </row>
    <row r="4" spans="2:13" ht="19.5" thickBot="1" x14ac:dyDescent="0.35">
      <c r="B4" s="126"/>
      <c r="C4" s="88"/>
      <c r="D4" s="89"/>
      <c r="E4" s="88"/>
      <c r="F4" s="89"/>
      <c r="G4" s="88"/>
      <c r="H4" s="89"/>
      <c r="I4" s="84"/>
      <c r="J4" s="132" t="s">
        <v>216</v>
      </c>
      <c r="K4" s="90">
        <v>18000</v>
      </c>
      <c r="L4" s="90">
        <v>18000</v>
      </c>
      <c r="M4" s="90">
        <v>18000</v>
      </c>
    </row>
    <row r="5" spans="2:13" ht="19.5" thickBot="1" x14ac:dyDescent="0.35">
      <c r="B5" s="127" t="s">
        <v>17</v>
      </c>
      <c r="C5" s="92"/>
      <c r="D5" s="93">
        <f>D3+D4</f>
        <v>202500</v>
      </c>
      <c r="E5" s="91"/>
      <c r="F5" s="93">
        <f>F3+F4</f>
        <v>285000</v>
      </c>
      <c r="G5" s="91"/>
      <c r="H5" s="93">
        <f>H3+H4</f>
        <v>525000</v>
      </c>
      <c r="I5" s="94"/>
      <c r="J5" s="95"/>
      <c r="K5" s="96"/>
      <c r="L5" s="96"/>
      <c r="M5" s="96"/>
    </row>
    <row r="6" spans="2:13" ht="19.5" thickBot="1" x14ac:dyDescent="0.35"/>
    <row r="7" spans="2:13" ht="19.5" thickBot="1" x14ac:dyDescent="0.35">
      <c r="C7" s="184" t="s">
        <v>19</v>
      </c>
      <c r="D7" s="185"/>
      <c r="E7" s="184" t="s">
        <v>20</v>
      </c>
      <c r="F7" s="185"/>
      <c r="G7" s="184" t="s">
        <v>21</v>
      </c>
      <c r="H7" s="185"/>
      <c r="I7" s="76"/>
    </row>
    <row r="8" spans="2:13" x14ac:dyDescent="0.3">
      <c r="B8" s="125" t="s">
        <v>173</v>
      </c>
      <c r="C8" s="80">
        <f>'Mercado Meta'!B5</f>
        <v>135</v>
      </c>
      <c r="D8" s="97"/>
      <c r="E8" s="98">
        <f>(C8*L3)+C8</f>
        <v>190</v>
      </c>
      <c r="F8" s="97"/>
      <c r="G8" s="98">
        <f>(E8*M3)+E8</f>
        <v>350</v>
      </c>
      <c r="H8" s="97"/>
      <c r="I8" s="79"/>
    </row>
    <row r="9" spans="2:13" ht="19.5" thickBot="1" x14ac:dyDescent="0.35">
      <c r="B9" s="126" t="s">
        <v>18</v>
      </c>
      <c r="C9" s="82">
        <f>C8</f>
        <v>135</v>
      </c>
      <c r="D9" s="100">
        <f>C9*$K$4</f>
        <v>2430000</v>
      </c>
      <c r="E9" s="82">
        <f>E8</f>
        <v>190</v>
      </c>
      <c r="F9" s="100">
        <f>E9*$L$4</f>
        <v>3420000</v>
      </c>
      <c r="G9" s="82">
        <f>G8</f>
        <v>350</v>
      </c>
      <c r="H9" s="100">
        <f>G9*$M$4</f>
        <v>6300000</v>
      </c>
      <c r="I9" s="84"/>
    </row>
    <row r="10" spans="2:13" ht="19.5" thickBot="1" x14ac:dyDescent="0.35">
      <c r="B10" s="126"/>
      <c r="C10" s="88"/>
      <c r="D10" s="101"/>
      <c r="E10" s="88"/>
      <c r="F10" s="101"/>
      <c r="G10" s="88"/>
      <c r="H10" s="101"/>
      <c r="I10" s="84"/>
      <c r="K10" s="134" t="s">
        <v>168</v>
      </c>
      <c r="L10" s="136" t="s">
        <v>169</v>
      </c>
    </row>
    <row r="11" spans="2:13" ht="19.5" thickBot="1" x14ac:dyDescent="0.35">
      <c r="B11" s="128" t="s">
        <v>18</v>
      </c>
      <c r="C11" s="92"/>
      <c r="D11" s="93">
        <f>D9+D10</f>
        <v>2430000</v>
      </c>
      <c r="E11" s="91"/>
      <c r="F11" s="93">
        <f>F9+F10</f>
        <v>3420000</v>
      </c>
      <c r="G11" s="91"/>
      <c r="H11" s="93">
        <f>H9+H10</f>
        <v>6300000</v>
      </c>
      <c r="I11" s="94"/>
      <c r="K11" s="135" t="s">
        <v>170</v>
      </c>
      <c r="L11" s="15">
        <v>18000</v>
      </c>
    </row>
    <row r="16" spans="2:13" x14ac:dyDescent="0.3">
      <c r="B16" s="75"/>
      <c r="C16" s="74">
        <v>2200</v>
      </c>
    </row>
    <row r="17" spans="1:14" x14ac:dyDescent="0.3">
      <c r="B17" s="75">
        <f>'Mercado Meta'!B5</f>
        <v>135</v>
      </c>
    </row>
    <row r="18" spans="1:14" x14ac:dyDescent="0.3">
      <c r="B18" s="137" t="s">
        <v>35</v>
      </c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</row>
    <row r="19" spans="1:14" x14ac:dyDescent="0.3">
      <c r="B19" s="102">
        <v>0</v>
      </c>
      <c r="C19" s="102">
        <v>0.01</v>
      </c>
      <c r="D19" s="102">
        <v>0.02</v>
      </c>
      <c r="E19" s="102">
        <v>0.04</v>
      </c>
      <c r="F19" s="102">
        <v>0.05</v>
      </c>
      <c r="G19" s="102">
        <v>0.08</v>
      </c>
      <c r="H19" s="102">
        <v>0.12</v>
      </c>
      <c r="I19" s="102">
        <v>0.1</v>
      </c>
      <c r="J19" s="102">
        <v>0.14000000000000001</v>
      </c>
      <c r="K19" s="102">
        <v>0.13</v>
      </c>
      <c r="L19" s="102">
        <v>0.16</v>
      </c>
      <c r="M19" s="102">
        <v>0.15</v>
      </c>
      <c r="N19" s="102">
        <f>SUM(B19:M19)</f>
        <v>1</v>
      </c>
    </row>
    <row r="20" spans="1:14" x14ac:dyDescent="0.3">
      <c r="B20" s="138" t="s">
        <v>41</v>
      </c>
      <c r="C20" s="138" t="s">
        <v>42</v>
      </c>
      <c r="D20" s="138" t="s">
        <v>43</v>
      </c>
      <c r="E20" s="138" t="s">
        <v>44</v>
      </c>
      <c r="F20" s="138" t="s">
        <v>45</v>
      </c>
      <c r="G20" s="138" t="s">
        <v>46</v>
      </c>
      <c r="H20" s="138" t="s">
        <v>47</v>
      </c>
      <c r="I20" s="138" t="s">
        <v>48</v>
      </c>
      <c r="J20" s="138" t="s">
        <v>49</v>
      </c>
      <c r="K20" s="138" t="s">
        <v>50</v>
      </c>
      <c r="L20" s="138" t="s">
        <v>51</v>
      </c>
      <c r="M20" s="138" t="s">
        <v>52</v>
      </c>
      <c r="N20" s="138"/>
    </row>
    <row r="21" spans="1:14" x14ac:dyDescent="0.3">
      <c r="A21" s="74" t="s">
        <v>78</v>
      </c>
      <c r="B21" s="103">
        <f>$B$17*B19</f>
        <v>0</v>
      </c>
      <c r="C21" s="103">
        <f t="shared" ref="C21:M21" si="0">$B$17*C19</f>
        <v>1.35</v>
      </c>
      <c r="D21" s="103">
        <f t="shared" si="0"/>
        <v>2.7</v>
      </c>
      <c r="E21" s="103">
        <f t="shared" si="0"/>
        <v>5.4</v>
      </c>
      <c r="F21" s="103">
        <f t="shared" si="0"/>
        <v>6.75</v>
      </c>
      <c r="G21" s="103">
        <f t="shared" si="0"/>
        <v>10.8</v>
      </c>
      <c r="H21" s="103">
        <f t="shared" si="0"/>
        <v>16.2</v>
      </c>
      <c r="I21" s="103">
        <f t="shared" si="0"/>
        <v>13.5</v>
      </c>
      <c r="J21" s="103">
        <f t="shared" si="0"/>
        <v>18.900000000000002</v>
      </c>
      <c r="K21" s="103">
        <f t="shared" si="0"/>
        <v>17.55</v>
      </c>
      <c r="L21" s="103">
        <f t="shared" si="0"/>
        <v>21.6</v>
      </c>
      <c r="M21" s="103">
        <f t="shared" si="0"/>
        <v>20.25</v>
      </c>
      <c r="N21" s="103">
        <f>SUM(B21:M21)</f>
        <v>135</v>
      </c>
    </row>
    <row r="22" spans="1:14" x14ac:dyDescent="0.3">
      <c r="A22" s="74" t="s">
        <v>77</v>
      </c>
      <c r="B22" s="99">
        <f>IFERROR(B21*$L$11,0)</f>
        <v>0</v>
      </c>
      <c r="C22" s="99">
        <f t="shared" ref="C22:N22" si="1">IFERROR(C21*$L$11,0)</f>
        <v>24300</v>
      </c>
      <c r="D22" s="99">
        <f t="shared" si="1"/>
        <v>48600</v>
      </c>
      <c r="E22" s="99">
        <f t="shared" si="1"/>
        <v>97200</v>
      </c>
      <c r="F22" s="99">
        <f t="shared" si="1"/>
        <v>121500</v>
      </c>
      <c r="G22" s="99">
        <f t="shared" si="1"/>
        <v>194400</v>
      </c>
      <c r="H22" s="99">
        <f t="shared" si="1"/>
        <v>291600</v>
      </c>
      <c r="I22" s="99">
        <f t="shared" si="1"/>
        <v>243000</v>
      </c>
      <c r="J22" s="99">
        <f t="shared" si="1"/>
        <v>340200.00000000006</v>
      </c>
      <c r="K22" s="99">
        <f t="shared" si="1"/>
        <v>315900</v>
      </c>
      <c r="L22" s="99">
        <f t="shared" si="1"/>
        <v>388800</v>
      </c>
      <c r="M22" s="99">
        <f t="shared" si="1"/>
        <v>364500</v>
      </c>
      <c r="N22" s="99">
        <f t="shared" si="1"/>
        <v>2430000</v>
      </c>
    </row>
    <row r="23" spans="1:14" x14ac:dyDescent="0.3">
      <c r="B23" s="74">
        <f>135/12</f>
        <v>11.25</v>
      </c>
      <c r="C23" s="74">
        <f t="shared" ref="C23:M23" si="2">135/12</f>
        <v>11.25</v>
      </c>
      <c r="D23" s="74">
        <f t="shared" si="2"/>
        <v>11.25</v>
      </c>
      <c r="E23" s="74">
        <f t="shared" si="2"/>
        <v>11.25</v>
      </c>
      <c r="F23" s="74">
        <f t="shared" si="2"/>
        <v>11.25</v>
      </c>
      <c r="G23" s="74">
        <f t="shared" si="2"/>
        <v>11.25</v>
      </c>
      <c r="H23" s="74">
        <f t="shared" si="2"/>
        <v>11.25</v>
      </c>
      <c r="I23" s="74">
        <f t="shared" si="2"/>
        <v>11.25</v>
      </c>
      <c r="J23" s="74">
        <f t="shared" si="2"/>
        <v>11.25</v>
      </c>
      <c r="K23" s="74">
        <f t="shared" si="2"/>
        <v>11.25</v>
      </c>
      <c r="L23" s="74">
        <f t="shared" si="2"/>
        <v>11.25</v>
      </c>
      <c r="M23" s="74">
        <f t="shared" si="2"/>
        <v>11.25</v>
      </c>
    </row>
    <row r="28" spans="1:14" x14ac:dyDescent="0.3">
      <c r="B28" s="104">
        <f>E8</f>
        <v>190</v>
      </c>
    </row>
    <row r="29" spans="1:14" x14ac:dyDescent="0.3">
      <c r="B29" s="137" t="s">
        <v>36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</row>
    <row r="30" spans="1:14" x14ac:dyDescent="0.3">
      <c r="B30" s="102">
        <v>0.08</v>
      </c>
      <c r="C30" s="102">
        <v>0.09</v>
      </c>
      <c r="D30" s="102">
        <v>0.06</v>
      </c>
      <c r="E30" s="102">
        <v>7.0000000000000007E-2</v>
      </c>
      <c r="F30" s="102">
        <v>0.06</v>
      </c>
      <c r="G30" s="102">
        <v>7.0000000000000007E-2</v>
      </c>
      <c r="H30" s="102">
        <v>0.06</v>
      </c>
      <c r="I30" s="102">
        <v>0.09</v>
      </c>
      <c r="J30" s="102">
        <v>0.08</v>
      </c>
      <c r="K30" s="102">
        <v>0.1</v>
      </c>
      <c r="L30" s="102">
        <v>0.12</v>
      </c>
      <c r="M30" s="102">
        <v>0.12</v>
      </c>
      <c r="N30" s="102">
        <f>SUM(B30:M30)</f>
        <v>0.99999999999999989</v>
      </c>
    </row>
    <row r="31" spans="1:14" x14ac:dyDescent="0.3">
      <c r="B31" s="138" t="s">
        <v>53</v>
      </c>
      <c r="C31" s="138" t="s">
        <v>54</v>
      </c>
      <c r="D31" s="138" t="s">
        <v>55</v>
      </c>
      <c r="E31" s="138" t="s">
        <v>56</v>
      </c>
      <c r="F31" s="138" t="s">
        <v>57</v>
      </c>
      <c r="G31" s="138" t="s">
        <v>58</v>
      </c>
      <c r="H31" s="138" t="s">
        <v>59</v>
      </c>
      <c r="I31" s="138" t="s">
        <v>60</v>
      </c>
      <c r="J31" s="138" t="s">
        <v>61</v>
      </c>
      <c r="K31" s="138" t="s">
        <v>62</v>
      </c>
      <c r="L31" s="138" t="s">
        <v>63</v>
      </c>
      <c r="M31" s="138" t="s">
        <v>64</v>
      </c>
      <c r="N31" s="138"/>
    </row>
    <row r="32" spans="1:14" x14ac:dyDescent="0.3">
      <c r="A32" s="74" t="s">
        <v>78</v>
      </c>
      <c r="B32" s="103">
        <f>$B$28*B30</f>
        <v>15.200000000000001</v>
      </c>
      <c r="C32" s="103">
        <f t="shared" ref="C32:M32" si="3">$B$28*C30</f>
        <v>17.099999999999998</v>
      </c>
      <c r="D32" s="103">
        <f t="shared" si="3"/>
        <v>11.4</v>
      </c>
      <c r="E32" s="103">
        <f t="shared" si="3"/>
        <v>13.3</v>
      </c>
      <c r="F32" s="103">
        <f t="shared" si="3"/>
        <v>11.4</v>
      </c>
      <c r="G32" s="103">
        <f t="shared" si="3"/>
        <v>13.3</v>
      </c>
      <c r="H32" s="103">
        <f t="shared" si="3"/>
        <v>11.4</v>
      </c>
      <c r="I32" s="103">
        <f t="shared" si="3"/>
        <v>17.099999999999998</v>
      </c>
      <c r="J32" s="103">
        <f t="shared" si="3"/>
        <v>15.200000000000001</v>
      </c>
      <c r="K32" s="103">
        <f t="shared" si="3"/>
        <v>19</v>
      </c>
      <c r="L32" s="103">
        <f t="shared" si="3"/>
        <v>22.8</v>
      </c>
      <c r="M32" s="103">
        <f t="shared" si="3"/>
        <v>22.8</v>
      </c>
      <c r="N32" s="103">
        <f>SUM(B32:M32)</f>
        <v>190.00000000000003</v>
      </c>
    </row>
    <row r="33" spans="1:14" x14ac:dyDescent="0.3">
      <c r="A33" s="74" t="s">
        <v>77</v>
      </c>
      <c r="B33" s="99">
        <f t="shared" ref="B33:C33" si="4">IFERROR(B32*$L$11,0)</f>
        <v>273600</v>
      </c>
      <c r="C33" s="99">
        <f t="shared" si="4"/>
        <v>307799.99999999994</v>
      </c>
      <c r="D33" s="99">
        <f t="shared" ref="D33" si="5">IFERROR(D32*$L$11,0)</f>
        <v>205200</v>
      </c>
      <c r="E33" s="99">
        <f t="shared" ref="E33" si="6">IFERROR(E32*$L$11,0)</f>
        <v>239400</v>
      </c>
      <c r="F33" s="99">
        <f t="shared" ref="F33" si="7">IFERROR(F32*$L$11,0)</f>
        <v>205200</v>
      </c>
      <c r="G33" s="99">
        <f t="shared" ref="G33" si="8">IFERROR(G32*$L$11,0)</f>
        <v>239400</v>
      </c>
      <c r="H33" s="99">
        <f t="shared" ref="H33" si="9">IFERROR(H32*$L$11,0)</f>
        <v>205200</v>
      </c>
      <c r="I33" s="99">
        <f t="shared" ref="I33" si="10">IFERROR(I32*$L$11,0)</f>
        <v>307799.99999999994</v>
      </c>
      <c r="J33" s="99">
        <f t="shared" ref="J33" si="11">IFERROR(J32*$L$11,0)</f>
        <v>273600</v>
      </c>
      <c r="K33" s="99">
        <f t="shared" ref="K33" si="12">IFERROR(K32*$L$11,0)</f>
        <v>342000</v>
      </c>
      <c r="L33" s="99">
        <f t="shared" ref="L33" si="13">IFERROR(L32*$L$11,0)</f>
        <v>410400</v>
      </c>
      <c r="M33" s="99">
        <f t="shared" ref="M33" si="14">IFERROR(M32*$L$11,0)</f>
        <v>410400</v>
      </c>
      <c r="N33" s="99">
        <f t="shared" ref="N33" si="15">IFERROR(N32*$L$11,0)</f>
        <v>3420000.0000000005</v>
      </c>
    </row>
    <row r="34" spans="1:14" x14ac:dyDescent="0.3">
      <c r="B34" s="74">
        <f>190/12</f>
        <v>15.833333333333334</v>
      </c>
      <c r="C34" s="74">
        <f t="shared" ref="C34:M34" si="16">190/12</f>
        <v>15.833333333333334</v>
      </c>
      <c r="D34" s="74">
        <f t="shared" si="16"/>
        <v>15.833333333333334</v>
      </c>
      <c r="E34" s="74">
        <f t="shared" si="16"/>
        <v>15.833333333333334</v>
      </c>
      <c r="F34" s="74">
        <f t="shared" si="16"/>
        <v>15.833333333333334</v>
      </c>
      <c r="G34" s="74">
        <f t="shared" si="16"/>
        <v>15.833333333333334</v>
      </c>
      <c r="H34" s="74">
        <f t="shared" si="16"/>
        <v>15.833333333333334</v>
      </c>
      <c r="I34" s="74">
        <f t="shared" si="16"/>
        <v>15.833333333333334</v>
      </c>
      <c r="J34" s="74">
        <f t="shared" si="16"/>
        <v>15.833333333333334</v>
      </c>
      <c r="K34" s="74">
        <f t="shared" si="16"/>
        <v>15.833333333333334</v>
      </c>
      <c r="L34" s="74">
        <f t="shared" si="16"/>
        <v>15.833333333333334</v>
      </c>
      <c r="M34" s="74">
        <f t="shared" si="16"/>
        <v>15.833333333333334</v>
      </c>
    </row>
    <row r="40" spans="1:14" x14ac:dyDescent="0.3">
      <c r="B40" s="104">
        <f>G9</f>
        <v>350</v>
      </c>
    </row>
    <row r="41" spans="1:14" x14ac:dyDescent="0.3">
      <c r="B41" s="137" t="s">
        <v>37</v>
      </c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</row>
    <row r="42" spans="1:14" x14ac:dyDescent="0.3">
      <c r="B42" s="102">
        <v>0.08</v>
      </c>
      <c r="C42" s="102">
        <v>7.0000000000000007E-2</v>
      </c>
      <c r="D42" s="102">
        <v>0.06</v>
      </c>
      <c r="E42" s="102">
        <v>0.09</v>
      </c>
      <c r="F42" s="102">
        <v>0.08</v>
      </c>
      <c r="G42" s="102">
        <v>7.4999999999999997E-2</v>
      </c>
      <c r="H42" s="102">
        <v>7.0000000000000007E-2</v>
      </c>
      <c r="I42" s="102">
        <v>0.08</v>
      </c>
      <c r="J42" s="102">
        <v>0.08</v>
      </c>
      <c r="K42" s="102">
        <v>0.09</v>
      </c>
      <c r="L42" s="102">
        <v>0.11</v>
      </c>
      <c r="M42" s="102">
        <v>0.115</v>
      </c>
      <c r="N42" s="102">
        <f>SUM(B42:M42)</f>
        <v>1</v>
      </c>
    </row>
    <row r="43" spans="1:14" x14ac:dyDescent="0.3">
      <c r="B43" s="138" t="s">
        <v>65</v>
      </c>
      <c r="C43" s="138" t="s">
        <v>66</v>
      </c>
      <c r="D43" s="138" t="s">
        <v>67</v>
      </c>
      <c r="E43" s="138" t="s">
        <v>68</v>
      </c>
      <c r="F43" s="138" t="s">
        <v>69</v>
      </c>
      <c r="G43" s="138" t="s">
        <v>70</v>
      </c>
      <c r="H43" s="138" t="s">
        <v>71</v>
      </c>
      <c r="I43" s="138" t="s">
        <v>72</v>
      </c>
      <c r="J43" s="138" t="s">
        <v>73</v>
      </c>
      <c r="K43" s="138" t="s">
        <v>74</v>
      </c>
      <c r="L43" s="138" t="s">
        <v>75</v>
      </c>
      <c r="M43" s="138" t="s">
        <v>76</v>
      </c>
      <c r="N43" s="138"/>
    </row>
    <row r="44" spans="1:14" x14ac:dyDescent="0.3">
      <c r="A44" s="74" t="s">
        <v>78</v>
      </c>
      <c r="B44" s="103">
        <f>$B$40*B42</f>
        <v>28</v>
      </c>
      <c r="C44" s="103">
        <f t="shared" ref="C44:M44" si="17">$B$40*C42</f>
        <v>24.500000000000004</v>
      </c>
      <c r="D44" s="103">
        <f t="shared" si="17"/>
        <v>21</v>
      </c>
      <c r="E44" s="103">
        <f t="shared" si="17"/>
        <v>31.5</v>
      </c>
      <c r="F44" s="103">
        <f t="shared" si="17"/>
        <v>28</v>
      </c>
      <c r="G44" s="103">
        <f t="shared" si="17"/>
        <v>26.25</v>
      </c>
      <c r="H44" s="103">
        <f t="shared" si="17"/>
        <v>24.500000000000004</v>
      </c>
      <c r="I44" s="103">
        <f t="shared" si="17"/>
        <v>28</v>
      </c>
      <c r="J44" s="103">
        <f t="shared" si="17"/>
        <v>28</v>
      </c>
      <c r="K44" s="103">
        <f t="shared" si="17"/>
        <v>31.5</v>
      </c>
      <c r="L44" s="103">
        <f t="shared" si="17"/>
        <v>38.5</v>
      </c>
      <c r="M44" s="103">
        <f t="shared" si="17"/>
        <v>40.25</v>
      </c>
      <c r="N44" s="103">
        <f>SUM(B44:M44)</f>
        <v>350</v>
      </c>
    </row>
    <row r="45" spans="1:14" x14ac:dyDescent="0.3">
      <c r="A45" s="74" t="s">
        <v>77</v>
      </c>
      <c r="B45" s="99">
        <f t="shared" ref="B45:N45" si="18">IFERROR(B44*$L$11,0)</f>
        <v>504000</v>
      </c>
      <c r="C45" s="99">
        <f t="shared" si="18"/>
        <v>441000.00000000006</v>
      </c>
      <c r="D45" s="99">
        <f t="shared" si="18"/>
        <v>378000</v>
      </c>
      <c r="E45" s="99">
        <f t="shared" si="18"/>
        <v>567000</v>
      </c>
      <c r="F45" s="99">
        <f t="shared" si="18"/>
        <v>504000</v>
      </c>
      <c r="G45" s="99">
        <f t="shared" si="18"/>
        <v>472500</v>
      </c>
      <c r="H45" s="99">
        <f t="shared" si="18"/>
        <v>441000.00000000006</v>
      </c>
      <c r="I45" s="99">
        <f t="shared" si="18"/>
        <v>504000</v>
      </c>
      <c r="J45" s="99">
        <f t="shared" si="18"/>
        <v>504000</v>
      </c>
      <c r="K45" s="99">
        <f t="shared" si="18"/>
        <v>567000</v>
      </c>
      <c r="L45" s="99">
        <f t="shared" si="18"/>
        <v>693000</v>
      </c>
      <c r="M45" s="99">
        <f t="shared" si="18"/>
        <v>724500</v>
      </c>
      <c r="N45" s="99">
        <f t="shared" si="18"/>
        <v>6300000</v>
      </c>
    </row>
    <row r="46" spans="1:14" x14ac:dyDescent="0.3">
      <c r="B46" s="74">
        <f>350/12</f>
        <v>29.166666666666668</v>
      </c>
      <c r="C46" s="74">
        <f t="shared" ref="C46:M46" si="19">350/12</f>
        <v>29.166666666666668</v>
      </c>
      <c r="D46" s="74">
        <f t="shared" si="19"/>
        <v>29.166666666666668</v>
      </c>
      <c r="E46" s="74">
        <f t="shared" si="19"/>
        <v>29.166666666666668</v>
      </c>
      <c r="F46" s="74">
        <f t="shared" si="19"/>
        <v>29.166666666666668</v>
      </c>
      <c r="G46" s="74">
        <f t="shared" si="19"/>
        <v>29.166666666666668</v>
      </c>
      <c r="H46" s="74">
        <f t="shared" si="19"/>
        <v>29.166666666666668</v>
      </c>
      <c r="I46" s="74">
        <f t="shared" si="19"/>
        <v>29.166666666666668</v>
      </c>
      <c r="J46" s="74">
        <f t="shared" si="19"/>
        <v>29.166666666666668</v>
      </c>
      <c r="K46" s="74">
        <f t="shared" si="19"/>
        <v>29.166666666666668</v>
      </c>
      <c r="L46" s="74">
        <f t="shared" si="19"/>
        <v>29.166666666666668</v>
      </c>
      <c r="M46" s="74">
        <f t="shared" si="19"/>
        <v>29.166666666666668</v>
      </c>
    </row>
  </sheetData>
  <mergeCells count="6">
    <mergeCell ref="C1:D1"/>
    <mergeCell ref="E1:F1"/>
    <mergeCell ref="G1:H1"/>
    <mergeCell ref="C7:D7"/>
    <mergeCell ref="E7:F7"/>
    <mergeCell ref="G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topLeftCell="A8" zoomScaleNormal="100" workbookViewId="0">
      <selection activeCell="P14" sqref="P14"/>
    </sheetView>
  </sheetViews>
  <sheetFormatPr defaultColWidth="11.42578125" defaultRowHeight="15" x14ac:dyDescent="0.25"/>
  <cols>
    <col min="1" max="1" width="15.28515625" customWidth="1"/>
    <col min="2" max="2" width="19.140625" bestFit="1" customWidth="1"/>
    <col min="3" max="3" width="20.85546875" bestFit="1" customWidth="1"/>
    <col min="4" max="4" width="27" bestFit="1" customWidth="1"/>
    <col min="5" max="5" width="21.7109375" bestFit="1" customWidth="1"/>
    <col min="6" max="6" width="15.28515625" bestFit="1" customWidth="1"/>
    <col min="7" max="7" width="14" bestFit="1" customWidth="1"/>
  </cols>
  <sheetData>
    <row r="1" spans="1:12" ht="18.75" x14ac:dyDescent="0.3">
      <c r="A1" s="75" t="s">
        <v>165</v>
      </c>
    </row>
    <row r="2" spans="1:12" ht="15.75" thickBot="1" x14ac:dyDescent="0.3"/>
    <row r="3" spans="1:12" x14ac:dyDescent="0.25">
      <c r="B3" s="186" t="s">
        <v>0</v>
      </c>
      <c r="C3" s="16" t="s">
        <v>1</v>
      </c>
      <c r="D3" s="17" t="s">
        <v>2</v>
      </c>
      <c r="E3" s="18" t="s">
        <v>3</v>
      </c>
    </row>
    <row r="4" spans="1:12" x14ac:dyDescent="0.25">
      <c r="B4" s="187"/>
      <c r="C4" s="115" t="s">
        <v>10</v>
      </c>
      <c r="D4" s="116" t="s">
        <v>4</v>
      </c>
      <c r="E4" s="117">
        <v>2600</v>
      </c>
      <c r="K4" s="28"/>
    </row>
    <row r="5" spans="1:12" x14ac:dyDescent="0.25">
      <c r="B5" s="187"/>
      <c r="C5" s="115" t="s">
        <v>13</v>
      </c>
      <c r="D5" s="116" t="s">
        <v>4</v>
      </c>
      <c r="E5" s="117">
        <v>11900</v>
      </c>
      <c r="K5" s="107"/>
    </row>
    <row r="6" spans="1:12" x14ac:dyDescent="0.25">
      <c r="B6" s="187"/>
      <c r="C6" s="115" t="s">
        <v>11</v>
      </c>
      <c r="D6" s="116" t="s">
        <v>4</v>
      </c>
      <c r="E6" s="117">
        <v>1900</v>
      </c>
    </row>
    <row r="7" spans="1:12" x14ac:dyDescent="0.25">
      <c r="B7" s="187"/>
      <c r="C7" s="115" t="s">
        <v>5</v>
      </c>
      <c r="D7" s="116" t="s">
        <v>4</v>
      </c>
      <c r="E7" s="117">
        <v>1400</v>
      </c>
      <c r="K7" s="25"/>
      <c r="L7" s="108"/>
    </row>
    <row r="8" spans="1:12" x14ac:dyDescent="0.25">
      <c r="B8" s="187"/>
      <c r="C8" s="115" t="s">
        <v>6</v>
      </c>
      <c r="D8" s="116" t="s">
        <v>4</v>
      </c>
      <c r="E8" s="117">
        <v>600</v>
      </c>
      <c r="G8" s="35" t="s">
        <v>171</v>
      </c>
      <c r="H8" s="35">
        <v>18000</v>
      </c>
    </row>
    <row r="9" spans="1:12" x14ac:dyDescent="0.25">
      <c r="B9" s="187"/>
      <c r="C9" s="115" t="s">
        <v>7</v>
      </c>
      <c r="D9" s="116" t="s">
        <v>4</v>
      </c>
      <c r="E9" s="117">
        <v>2300</v>
      </c>
    </row>
    <row r="10" spans="1:12" ht="15.75" thickBot="1" x14ac:dyDescent="0.3">
      <c r="B10" s="188"/>
      <c r="C10" s="118" t="s">
        <v>8</v>
      </c>
      <c r="D10" s="119" t="s">
        <v>4</v>
      </c>
      <c r="E10" s="120">
        <v>130000</v>
      </c>
    </row>
    <row r="11" spans="1:12" x14ac:dyDescent="0.25">
      <c r="B11" s="186" t="s">
        <v>22</v>
      </c>
      <c r="C11" s="115" t="s">
        <v>14</v>
      </c>
      <c r="D11" s="116" t="s">
        <v>4</v>
      </c>
      <c r="E11" s="117">
        <v>5000</v>
      </c>
    </row>
    <row r="12" spans="1:12" x14ac:dyDescent="0.25">
      <c r="B12" s="187"/>
      <c r="C12" s="115" t="s">
        <v>15</v>
      </c>
      <c r="D12" s="116" t="s">
        <v>4</v>
      </c>
      <c r="E12" s="117">
        <v>1500</v>
      </c>
    </row>
    <row r="13" spans="1:12" x14ac:dyDescent="0.25">
      <c r="B13" s="187"/>
      <c r="C13" s="118" t="s">
        <v>221</v>
      </c>
      <c r="D13" s="119" t="s">
        <v>4</v>
      </c>
      <c r="E13" s="120">
        <v>18000</v>
      </c>
    </row>
    <row r="14" spans="1:12" ht="15.75" thickBot="1" x14ac:dyDescent="0.3">
      <c r="B14" s="188"/>
      <c r="C14" s="121" t="s">
        <v>16</v>
      </c>
      <c r="D14" s="122" t="s">
        <v>4</v>
      </c>
      <c r="E14" s="123">
        <v>1800</v>
      </c>
    </row>
    <row r="15" spans="1:12" ht="15.75" thickBot="1" x14ac:dyDescent="0.3">
      <c r="C15" s="189" t="s">
        <v>9</v>
      </c>
      <c r="D15" s="190"/>
      <c r="E15" s="124">
        <f>SUM(E4:E14)</f>
        <v>177000</v>
      </c>
    </row>
    <row r="16" spans="1:12" x14ac:dyDescent="0.25">
      <c r="B16">
        <v>5</v>
      </c>
    </row>
    <row r="17" spans="1:6" x14ac:dyDescent="0.25">
      <c r="E17" s="19" t="s">
        <v>26</v>
      </c>
    </row>
    <row r="18" spans="1:6" x14ac:dyDescent="0.25">
      <c r="A18" s="25"/>
      <c r="E18">
        <v>1.05</v>
      </c>
    </row>
    <row r="19" spans="1:6" x14ac:dyDescent="0.25">
      <c r="A19" s="14"/>
      <c r="B19" s="14" t="s">
        <v>166</v>
      </c>
      <c r="C19" s="14" t="s">
        <v>24</v>
      </c>
      <c r="D19" s="14" t="s">
        <v>167</v>
      </c>
      <c r="E19" s="14" t="s">
        <v>25</v>
      </c>
      <c r="F19" s="14" t="s">
        <v>27</v>
      </c>
    </row>
    <row r="20" spans="1:6" x14ac:dyDescent="0.25">
      <c r="A20" s="220" t="s">
        <v>29</v>
      </c>
      <c r="B20" s="109">
        <v>1</v>
      </c>
      <c r="C20" s="110">
        <f>SUM(E4:E10)</f>
        <v>150700</v>
      </c>
      <c r="D20" s="110">
        <f>SUM(E11:E14)</f>
        <v>26300</v>
      </c>
      <c r="E20" s="110">
        <f>SUM(C20:D20)</f>
        <v>177000</v>
      </c>
      <c r="F20" s="111">
        <f t="shared" ref="F20:F34" si="0">B20*$H$8</f>
        <v>18000</v>
      </c>
    </row>
    <row r="21" spans="1:6" x14ac:dyDescent="0.25">
      <c r="A21" s="221"/>
      <c r="B21" s="109">
        <v>2</v>
      </c>
      <c r="C21" s="110">
        <f>C20</f>
        <v>150700</v>
      </c>
      <c r="D21" s="110">
        <f t="shared" ref="D21:D31" si="1">D20*$E$18</f>
        <v>27615</v>
      </c>
      <c r="E21" s="110">
        <f t="shared" ref="E21:E31" si="2">SUM(C21:D21)</f>
        <v>178315</v>
      </c>
      <c r="F21" s="111">
        <f t="shared" si="0"/>
        <v>36000</v>
      </c>
    </row>
    <row r="22" spans="1:6" x14ac:dyDescent="0.25">
      <c r="A22" s="221"/>
      <c r="B22" s="109">
        <v>3</v>
      </c>
      <c r="C22" s="110">
        <f t="shared" ref="C22:C34" si="3">C21</f>
        <v>150700</v>
      </c>
      <c r="D22" s="110">
        <f t="shared" si="1"/>
        <v>28995.75</v>
      </c>
      <c r="E22" s="110">
        <f t="shared" si="2"/>
        <v>179695.75</v>
      </c>
      <c r="F22" s="111">
        <f t="shared" si="0"/>
        <v>54000</v>
      </c>
    </row>
    <row r="23" spans="1:6" x14ac:dyDescent="0.25">
      <c r="A23" s="221"/>
      <c r="B23" s="109">
        <v>4</v>
      </c>
      <c r="C23" s="110">
        <f t="shared" si="3"/>
        <v>150700</v>
      </c>
      <c r="D23" s="110">
        <f t="shared" si="1"/>
        <v>30445.537500000002</v>
      </c>
      <c r="E23" s="110">
        <f t="shared" si="2"/>
        <v>181145.53750000001</v>
      </c>
      <c r="F23" s="111">
        <f t="shared" si="0"/>
        <v>72000</v>
      </c>
    </row>
    <row r="24" spans="1:6" x14ac:dyDescent="0.25">
      <c r="A24" s="221"/>
      <c r="B24" s="109">
        <v>5</v>
      </c>
      <c r="C24" s="110">
        <f t="shared" si="3"/>
        <v>150700</v>
      </c>
      <c r="D24" s="110">
        <f t="shared" si="1"/>
        <v>31967.814375000005</v>
      </c>
      <c r="E24" s="110">
        <f t="shared" si="2"/>
        <v>182667.81437500002</v>
      </c>
      <c r="F24" s="111">
        <f t="shared" si="0"/>
        <v>90000</v>
      </c>
    </row>
    <row r="25" spans="1:6" x14ac:dyDescent="0.25">
      <c r="A25" s="221"/>
      <c r="B25" s="109">
        <v>6</v>
      </c>
      <c r="C25" s="110">
        <f t="shared" si="3"/>
        <v>150700</v>
      </c>
      <c r="D25" s="110">
        <f t="shared" si="1"/>
        <v>33566.20509375001</v>
      </c>
      <c r="E25" s="110">
        <f t="shared" si="2"/>
        <v>184266.20509375</v>
      </c>
      <c r="F25" s="111">
        <f t="shared" si="0"/>
        <v>108000</v>
      </c>
    </row>
    <row r="26" spans="1:6" x14ac:dyDescent="0.25">
      <c r="A26" s="221"/>
      <c r="B26" s="109">
        <v>7</v>
      </c>
      <c r="C26" s="110">
        <f t="shared" si="3"/>
        <v>150700</v>
      </c>
      <c r="D26" s="110">
        <f t="shared" si="1"/>
        <v>35244.515348437511</v>
      </c>
      <c r="E26" s="110">
        <f t="shared" si="2"/>
        <v>185944.5153484375</v>
      </c>
      <c r="F26" s="111">
        <f t="shared" si="0"/>
        <v>126000</v>
      </c>
    </row>
    <row r="27" spans="1:6" x14ac:dyDescent="0.25">
      <c r="A27" s="221"/>
      <c r="B27" s="109">
        <v>8</v>
      </c>
      <c r="C27" s="110">
        <f t="shared" si="3"/>
        <v>150700</v>
      </c>
      <c r="D27" s="110">
        <f t="shared" si="1"/>
        <v>37006.74111585939</v>
      </c>
      <c r="E27" s="110">
        <f t="shared" si="2"/>
        <v>187706.74111585939</v>
      </c>
      <c r="F27" s="111">
        <f t="shared" si="0"/>
        <v>144000</v>
      </c>
    </row>
    <row r="28" spans="1:6" x14ac:dyDescent="0.25">
      <c r="A28" s="221"/>
      <c r="B28" s="109">
        <v>9</v>
      </c>
      <c r="C28" s="110">
        <f t="shared" si="3"/>
        <v>150700</v>
      </c>
      <c r="D28" s="110">
        <f t="shared" si="1"/>
        <v>38857.078171652363</v>
      </c>
      <c r="E28" s="110">
        <f t="shared" si="2"/>
        <v>189557.07817165236</v>
      </c>
      <c r="F28" s="111">
        <f t="shared" si="0"/>
        <v>162000</v>
      </c>
    </row>
    <row r="29" spans="1:6" x14ac:dyDescent="0.25">
      <c r="A29" s="222"/>
      <c r="B29" s="109">
        <v>10</v>
      </c>
      <c r="C29" s="110">
        <f t="shared" si="3"/>
        <v>150700</v>
      </c>
      <c r="D29" s="110">
        <f t="shared" si="1"/>
        <v>40799.932080234983</v>
      </c>
      <c r="E29" s="110">
        <f t="shared" si="2"/>
        <v>191499.93208023498</v>
      </c>
      <c r="F29" s="111">
        <f t="shared" si="0"/>
        <v>180000</v>
      </c>
    </row>
    <row r="30" spans="1:6" x14ac:dyDescent="0.25">
      <c r="A30" s="218" t="s">
        <v>28</v>
      </c>
      <c r="B30" s="176">
        <v>11</v>
      </c>
      <c r="C30" s="177">
        <f t="shared" si="3"/>
        <v>150700</v>
      </c>
      <c r="D30" s="177">
        <f t="shared" si="1"/>
        <v>42839.928684246734</v>
      </c>
      <c r="E30" s="177">
        <f t="shared" si="2"/>
        <v>193539.92868424673</v>
      </c>
      <c r="F30" s="178">
        <f t="shared" si="0"/>
        <v>198000</v>
      </c>
    </row>
    <row r="31" spans="1:6" ht="15" customHeight="1" x14ac:dyDescent="0.25">
      <c r="A31" s="214" t="s">
        <v>223</v>
      </c>
      <c r="B31" s="215">
        <v>12</v>
      </c>
      <c r="C31" s="113">
        <f t="shared" si="3"/>
        <v>150700</v>
      </c>
      <c r="D31" s="216">
        <f t="shared" si="1"/>
        <v>44981.925118459076</v>
      </c>
      <c r="E31" s="216">
        <f t="shared" si="2"/>
        <v>195681.92511845907</v>
      </c>
      <c r="F31" s="217">
        <f t="shared" si="0"/>
        <v>216000</v>
      </c>
    </row>
    <row r="32" spans="1:6" x14ac:dyDescent="0.25">
      <c r="A32" s="219"/>
      <c r="B32" s="112">
        <v>13</v>
      </c>
      <c r="C32" s="113">
        <f t="shared" si="3"/>
        <v>150700</v>
      </c>
      <c r="D32" s="113">
        <f t="shared" ref="D32:D34" si="4">D31*$E$18</f>
        <v>47231.021374382035</v>
      </c>
      <c r="E32" s="113">
        <f t="shared" ref="E32:E34" si="5">SUM(C32:D32)</f>
        <v>197931.02137438202</v>
      </c>
      <c r="F32" s="114">
        <f t="shared" si="0"/>
        <v>234000</v>
      </c>
    </row>
    <row r="33" spans="1:6" x14ac:dyDescent="0.25">
      <c r="A33" s="219"/>
      <c r="B33" s="112">
        <v>14</v>
      </c>
      <c r="C33" s="113">
        <f t="shared" si="3"/>
        <v>150700</v>
      </c>
      <c r="D33" s="113">
        <f t="shared" si="4"/>
        <v>49592.57244310114</v>
      </c>
      <c r="E33" s="113">
        <f t="shared" si="5"/>
        <v>200292.57244310115</v>
      </c>
      <c r="F33" s="114">
        <f t="shared" si="0"/>
        <v>252000</v>
      </c>
    </row>
    <row r="34" spans="1:6" x14ac:dyDescent="0.25">
      <c r="A34" s="219"/>
      <c r="B34" s="141">
        <v>15</v>
      </c>
      <c r="C34" s="113">
        <f t="shared" si="3"/>
        <v>150700</v>
      </c>
      <c r="D34" s="212">
        <f t="shared" si="4"/>
        <v>52072.201065256202</v>
      </c>
      <c r="E34" s="212">
        <f t="shared" si="5"/>
        <v>202772.2010652562</v>
      </c>
      <c r="F34" s="213">
        <f t="shared" si="0"/>
        <v>270000</v>
      </c>
    </row>
    <row r="35" spans="1:6" ht="15" customHeight="1" x14ac:dyDescent="0.25"/>
  </sheetData>
  <mergeCells count="5">
    <mergeCell ref="B3:B10"/>
    <mergeCell ref="C15:D15"/>
    <mergeCell ref="A20:A29"/>
    <mergeCell ref="B11:B14"/>
    <mergeCell ref="A31:A3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zoomScaleNormal="100" workbookViewId="0">
      <selection activeCell="E22" sqref="E22"/>
    </sheetView>
  </sheetViews>
  <sheetFormatPr defaultColWidth="11.42578125" defaultRowHeight="12.75" x14ac:dyDescent="0.2"/>
  <cols>
    <col min="1" max="1" width="27" style="26" bestFit="1" customWidth="1"/>
    <col min="2" max="2" width="17.140625" style="26" bestFit="1" customWidth="1"/>
    <col min="3" max="5" width="16.85546875" style="26" bestFit="1" customWidth="1"/>
    <col min="6" max="6" width="15.140625" style="26" bestFit="1" customWidth="1"/>
    <col min="7" max="7" width="17.42578125" style="26" bestFit="1" customWidth="1"/>
    <col min="8" max="9" width="12.7109375" style="26" bestFit="1" customWidth="1"/>
    <col min="10" max="10" width="13.5703125" style="26" bestFit="1" customWidth="1"/>
    <col min="11" max="256" width="9.140625" style="26" customWidth="1"/>
    <col min="257" max="16384" width="11.42578125" style="26"/>
  </cols>
  <sheetData>
    <row r="1" spans="1:10" x14ac:dyDescent="0.2">
      <c r="A1" s="49" t="s">
        <v>94</v>
      </c>
      <c r="B1" s="49"/>
      <c r="C1" s="49"/>
      <c r="D1" s="49"/>
    </row>
    <row r="2" spans="1:10" s="43" customFormat="1" ht="15.75" x14ac:dyDescent="0.25">
      <c r="A2" s="50"/>
      <c r="B2" s="51"/>
      <c r="C2" s="52" t="s">
        <v>103</v>
      </c>
      <c r="D2" s="52" t="s">
        <v>103</v>
      </c>
      <c r="E2" s="52" t="s">
        <v>103</v>
      </c>
      <c r="G2" s="145"/>
      <c r="H2" s="146" t="s">
        <v>103</v>
      </c>
      <c r="I2" s="146" t="s">
        <v>103</v>
      </c>
      <c r="J2" s="146" t="s">
        <v>103</v>
      </c>
    </row>
    <row r="3" spans="1:10" s="43" customFormat="1" ht="15.75" x14ac:dyDescent="0.25">
      <c r="A3" s="155"/>
      <c r="B3" s="144" t="s">
        <v>93</v>
      </c>
      <c r="C3" s="144" t="s">
        <v>92</v>
      </c>
      <c r="D3" s="144" t="s">
        <v>91</v>
      </c>
      <c r="E3" s="144" t="s">
        <v>90</v>
      </c>
      <c r="G3" s="145"/>
      <c r="H3" s="147" t="s">
        <v>92</v>
      </c>
      <c r="I3" s="147" t="s">
        <v>91</v>
      </c>
      <c r="J3" s="147" t="s">
        <v>90</v>
      </c>
    </row>
    <row r="4" spans="1:10" x14ac:dyDescent="0.2">
      <c r="A4" s="53" t="s">
        <v>89</v>
      </c>
      <c r="B4" s="53"/>
      <c r="C4" s="53"/>
      <c r="D4" s="53"/>
      <c r="E4" s="53"/>
      <c r="G4" s="148" t="s">
        <v>163</v>
      </c>
      <c r="H4" s="149">
        <f>C15*-1</f>
        <v>65372.387499999997</v>
      </c>
      <c r="I4" s="149">
        <f t="shared" ref="I4:J4" si="0">D15*-1</f>
        <v>-28979.834722222291</v>
      </c>
      <c r="J4" s="149">
        <f t="shared" si="0"/>
        <v>561454.6097222222</v>
      </c>
    </row>
    <row r="5" spans="1:10" x14ac:dyDescent="0.2">
      <c r="A5" s="54" t="s">
        <v>88</v>
      </c>
      <c r="B5" s="55">
        <v>0</v>
      </c>
      <c r="C5" s="56">
        <f>Mensual!D11</f>
        <v>2430000</v>
      </c>
      <c r="D5" s="56">
        <f>Mensual!F11</f>
        <v>3420000</v>
      </c>
      <c r="E5" s="56">
        <f>Mensual!H11</f>
        <v>6300000</v>
      </c>
    </row>
    <row r="6" spans="1:10" x14ac:dyDescent="0.2">
      <c r="A6" s="53"/>
      <c r="B6" s="57">
        <f>SUM(B5:B5)</f>
        <v>0</v>
      </c>
      <c r="C6" s="57">
        <f>Mensual!D11</f>
        <v>2430000</v>
      </c>
      <c r="D6" s="57">
        <f>Mensual!F11</f>
        <v>3420000</v>
      </c>
      <c r="E6" s="57">
        <f>Mensual!H11</f>
        <v>6300000</v>
      </c>
      <c r="H6" s="53"/>
    </row>
    <row r="7" spans="1:10" x14ac:dyDescent="0.2">
      <c r="A7" s="53" t="s">
        <v>87</v>
      </c>
      <c r="B7" s="58"/>
      <c r="C7" s="59"/>
      <c r="D7" s="59"/>
      <c r="E7" s="59"/>
    </row>
    <row r="8" spans="1:10" ht="15.75" x14ac:dyDescent="0.25">
      <c r="A8" s="54" t="s">
        <v>22</v>
      </c>
      <c r="B8" s="55">
        <v>0</v>
      </c>
      <c r="C8" s="60">
        <f>-Costos!G8</f>
        <v>-315600</v>
      </c>
      <c r="D8" s="60">
        <f>-Costos!G20</f>
        <v>-444177.77777777781</v>
      </c>
      <c r="E8" s="60">
        <f>-Costos!G32</f>
        <v>-818222.22222222236</v>
      </c>
      <c r="G8" s="145"/>
      <c r="H8" s="150" t="s">
        <v>103</v>
      </c>
      <c r="I8" s="150" t="s">
        <v>103</v>
      </c>
      <c r="J8" s="150" t="s">
        <v>103</v>
      </c>
    </row>
    <row r="9" spans="1:10" ht="15.75" x14ac:dyDescent="0.25">
      <c r="A9" s="54" t="s">
        <v>0</v>
      </c>
      <c r="B9" s="55">
        <v>0</v>
      </c>
      <c r="C9" s="61">
        <f>-Costos!C11</f>
        <v>-1782000</v>
      </c>
      <c r="D9" s="60">
        <f>-Costos!C23</f>
        <v>-2913000</v>
      </c>
      <c r="E9" s="60">
        <f>-Costos!C35</f>
        <v>-3732000</v>
      </c>
      <c r="G9" s="145"/>
      <c r="H9" s="147" t="s">
        <v>92</v>
      </c>
      <c r="I9" s="147" t="s">
        <v>91</v>
      </c>
      <c r="J9" s="147" t="s">
        <v>90</v>
      </c>
    </row>
    <row r="10" spans="1:10" x14ac:dyDescent="0.2">
      <c r="A10" s="54" t="s">
        <v>83</v>
      </c>
      <c r="B10" s="55"/>
      <c r="C10" s="61">
        <f>-Inversion!H19</f>
        <v>-145621.75</v>
      </c>
      <c r="D10" s="60">
        <f>-Inversion!I19</f>
        <v>-145621.75</v>
      </c>
      <c r="E10" s="60">
        <f>-Inversion!J19</f>
        <v>-145621.75</v>
      </c>
      <c r="G10" s="148" t="s">
        <v>164</v>
      </c>
      <c r="H10" s="149">
        <f>C5*0.03</f>
        <v>72900</v>
      </c>
      <c r="I10" s="149">
        <f t="shared" ref="I10:J10" si="1">D5*0.03</f>
        <v>102600</v>
      </c>
      <c r="J10" s="149">
        <f t="shared" si="1"/>
        <v>189000</v>
      </c>
    </row>
    <row r="11" spans="1:10" x14ac:dyDescent="0.2">
      <c r="A11" s="53"/>
      <c r="B11" s="62">
        <f>SUM(B8:B10)</f>
        <v>0</v>
      </c>
      <c r="C11" s="62">
        <f>SUM(C8:C10)</f>
        <v>-2243221.75</v>
      </c>
      <c r="D11" s="62">
        <f>SUM(D8:D10)</f>
        <v>-3502799.527777778</v>
      </c>
      <c r="E11" s="62">
        <f>SUM(E8:E10)</f>
        <v>-4695843.972222222</v>
      </c>
    </row>
    <row r="12" spans="1:10" x14ac:dyDescent="0.2">
      <c r="A12" s="53"/>
      <c r="B12" s="53"/>
      <c r="C12" s="63"/>
      <c r="D12" s="63"/>
      <c r="E12" s="63"/>
    </row>
    <row r="13" spans="1:10" ht="13.5" thickBot="1" x14ac:dyDescent="0.25">
      <c r="A13" s="53" t="s">
        <v>86</v>
      </c>
      <c r="B13" s="64">
        <f>+B6+B11</f>
        <v>0</v>
      </c>
      <c r="C13" s="64">
        <f>+C6+C11</f>
        <v>186778.25</v>
      </c>
      <c r="D13" s="64">
        <f>+D6+D11</f>
        <v>-82799.527777777985</v>
      </c>
      <c r="E13" s="64">
        <f>+E6+E11</f>
        <v>1604156.027777778</v>
      </c>
    </row>
    <row r="14" spans="1:10" ht="13.5" thickTop="1" x14ac:dyDescent="0.2">
      <c r="A14" s="53"/>
      <c r="B14" s="53"/>
      <c r="C14" s="65"/>
      <c r="D14" s="65"/>
      <c r="E14" s="65"/>
    </row>
    <row r="15" spans="1:10" x14ac:dyDescent="0.2">
      <c r="A15" s="53" t="s">
        <v>85</v>
      </c>
      <c r="B15" s="53"/>
      <c r="C15" s="65">
        <f>-C13*0.35</f>
        <v>-65372.387499999997</v>
      </c>
      <c r="D15" s="65">
        <f>-D13*0.35</f>
        <v>28979.834722222291</v>
      </c>
      <c r="E15" s="65">
        <f>-E13*0.35</f>
        <v>-561454.6097222222</v>
      </c>
    </row>
    <row r="16" spans="1:10" x14ac:dyDescent="0.2">
      <c r="A16" s="53"/>
      <c r="B16" s="53"/>
      <c r="C16" s="65"/>
      <c r="D16" s="65"/>
      <c r="E16" s="65"/>
    </row>
    <row r="17" spans="1:7" ht="13.5" thickBot="1" x14ac:dyDescent="0.25">
      <c r="A17" s="53" t="s">
        <v>84</v>
      </c>
      <c r="B17" s="53"/>
      <c r="C17" s="66">
        <f>C15+C13</f>
        <v>121405.8625</v>
      </c>
      <c r="D17" s="66">
        <f>D15+D13</f>
        <v>-53819.69305555569</v>
      </c>
      <c r="E17" s="66">
        <f>E15+E13</f>
        <v>1042701.4180555558</v>
      </c>
    </row>
    <row r="18" spans="1:7" ht="13.5" thickTop="1" x14ac:dyDescent="0.2">
      <c r="A18" s="53"/>
      <c r="B18" s="53"/>
      <c r="C18" s="67"/>
      <c r="D18" s="67"/>
      <c r="E18" s="67"/>
    </row>
    <row r="19" spans="1:7" x14ac:dyDescent="0.2">
      <c r="A19" s="53" t="s">
        <v>83</v>
      </c>
      <c r="B19" s="53"/>
      <c r="C19" s="65">
        <f>-C10</f>
        <v>145621.75</v>
      </c>
      <c r="D19" s="65">
        <f t="shared" ref="D19:E19" si="2">-D10</f>
        <v>145621.75</v>
      </c>
      <c r="E19" s="65">
        <f t="shared" si="2"/>
        <v>145621.75</v>
      </c>
    </row>
    <row r="20" spans="1:7" ht="13.5" thickBot="1" x14ac:dyDescent="0.25">
      <c r="A20" s="53" t="s">
        <v>82</v>
      </c>
      <c r="B20" s="68">
        <f>-Inversion!D19</f>
        <v>-578134</v>
      </c>
      <c r="C20" s="66">
        <f>SUM(C17:C19)</f>
        <v>267027.61249999999</v>
      </c>
      <c r="D20" s="66">
        <f>SUM(D17:D19)</f>
        <v>91802.05694444431</v>
      </c>
      <c r="E20" s="66">
        <f>SUM(E17:E19)</f>
        <v>1188323.1680555558</v>
      </c>
    </row>
    <row r="21" spans="1:7" ht="14.25" thickTop="1" thickBot="1" x14ac:dyDescent="0.25">
      <c r="A21" s="53"/>
      <c r="B21" s="67"/>
      <c r="C21" s="67"/>
      <c r="D21" s="67"/>
      <c r="E21" s="67"/>
    </row>
    <row r="22" spans="1:7" ht="15.75" x14ac:dyDescent="0.25">
      <c r="A22" s="156" t="s">
        <v>81</v>
      </c>
      <c r="B22" s="159">
        <v>0.1885</v>
      </c>
      <c r="C22" s="65"/>
      <c r="D22" s="65"/>
      <c r="E22" s="65"/>
    </row>
    <row r="23" spans="1:7" ht="15.75" x14ac:dyDescent="0.25">
      <c r="A23" s="157" t="s">
        <v>80</v>
      </c>
      <c r="B23" s="162">
        <f>NPV(B22,C20,D20,E20)+B20</f>
        <v>419376.3850428221</v>
      </c>
    </row>
    <row r="24" spans="1:7" ht="16.5" thickBot="1" x14ac:dyDescent="0.3">
      <c r="A24" s="158" t="s">
        <v>79</v>
      </c>
      <c r="B24" s="161">
        <f>IRR(B20:E20,30)</f>
        <v>0.49185301556512817</v>
      </c>
      <c r="G24" s="2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F32" sqref="F32"/>
    </sheetView>
  </sheetViews>
  <sheetFormatPr defaultColWidth="11.42578125" defaultRowHeight="15" x14ac:dyDescent="0.25"/>
  <cols>
    <col min="1" max="1" width="23.85546875" bestFit="1" customWidth="1"/>
    <col min="2" max="2" width="11.42578125" style="33"/>
    <col min="3" max="3" width="14" bestFit="1" customWidth="1"/>
    <col min="4" max="4" width="13.85546875" bestFit="1" customWidth="1"/>
    <col min="5" max="5" width="13.85546875" customWidth="1"/>
    <col min="6" max="6" width="19.28515625" bestFit="1" customWidth="1"/>
    <col min="7" max="7" width="15.7109375" style="36" bestFit="1" customWidth="1"/>
    <col min="8" max="10" width="12.5703125" style="36" bestFit="1" customWidth="1"/>
  </cols>
  <sheetData>
    <row r="1" spans="1:10" x14ac:dyDescent="0.25">
      <c r="A1" s="140" t="s">
        <v>136</v>
      </c>
      <c r="F1" s="140" t="s">
        <v>137</v>
      </c>
    </row>
    <row r="4" spans="1:10" x14ac:dyDescent="0.25">
      <c r="A4" s="139" t="s">
        <v>104</v>
      </c>
      <c r="B4" s="139" t="s">
        <v>78</v>
      </c>
      <c r="C4" s="139" t="s">
        <v>111</v>
      </c>
      <c r="D4" s="139" t="s">
        <v>9</v>
      </c>
      <c r="F4" s="139" t="s">
        <v>104</v>
      </c>
      <c r="G4" s="140" t="s">
        <v>137</v>
      </c>
      <c r="H4" s="192" t="s">
        <v>103</v>
      </c>
      <c r="I4" s="193"/>
      <c r="J4" s="194"/>
    </row>
    <row r="5" spans="1:10" x14ac:dyDescent="0.25">
      <c r="A5" s="139" t="s">
        <v>138</v>
      </c>
      <c r="B5" s="195"/>
      <c r="C5" s="196"/>
      <c r="D5" s="197"/>
      <c r="F5" s="139" t="s">
        <v>138</v>
      </c>
      <c r="G5" s="140" t="s">
        <v>144</v>
      </c>
      <c r="H5" s="37">
        <v>1</v>
      </c>
      <c r="I5" s="37">
        <v>2</v>
      </c>
      <c r="J5" s="37">
        <v>3</v>
      </c>
    </row>
    <row r="6" spans="1:10" x14ac:dyDescent="0.25">
      <c r="A6" s="14" t="s">
        <v>105</v>
      </c>
      <c r="B6" s="5">
        <v>3</v>
      </c>
      <c r="C6" s="32">
        <v>12000</v>
      </c>
      <c r="D6" s="34">
        <f>C6*B6</f>
        <v>36000</v>
      </c>
      <c r="F6" s="14" t="s">
        <v>105</v>
      </c>
      <c r="G6" s="37">
        <v>10</v>
      </c>
      <c r="H6" s="38">
        <f>D6/$G6</f>
        <v>3600</v>
      </c>
      <c r="I6" s="38">
        <f>D6/$G6</f>
        <v>3600</v>
      </c>
      <c r="J6" s="38">
        <f>D6/$G6</f>
        <v>3600</v>
      </c>
    </row>
    <row r="7" spans="1:10" x14ac:dyDescent="0.25">
      <c r="A7" s="14" t="s">
        <v>106</v>
      </c>
      <c r="B7" s="5">
        <v>10</v>
      </c>
      <c r="C7" s="32">
        <v>3000</v>
      </c>
      <c r="D7" s="34">
        <f t="shared" ref="D7:D18" si="0">C7*B7</f>
        <v>30000</v>
      </c>
      <c r="F7" s="14" t="s">
        <v>106</v>
      </c>
      <c r="G7" s="37">
        <v>10</v>
      </c>
      <c r="H7" s="38">
        <f>D7/$G7</f>
        <v>3000</v>
      </c>
      <c r="I7" s="38">
        <f>D7/$G7</f>
        <v>3000</v>
      </c>
      <c r="J7" s="38">
        <f>D7/$G7</f>
        <v>3000</v>
      </c>
    </row>
    <row r="8" spans="1:10" x14ac:dyDescent="0.25">
      <c r="A8" s="14" t="s">
        <v>112</v>
      </c>
      <c r="B8" s="5">
        <v>2</v>
      </c>
      <c r="C8" s="32">
        <v>8000</v>
      </c>
      <c r="D8" s="34">
        <f t="shared" si="0"/>
        <v>16000</v>
      </c>
      <c r="F8" s="14" t="s">
        <v>112</v>
      </c>
      <c r="G8" s="37">
        <v>10</v>
      </c>
      <c r="H8" s="38">
        <f>D8/$G8</f>
        <v>1600</v>
      </c>
      <c r="I8" s="38">
        <f>D8/$G8</f>
        <v>1600</v>
      </c>
      <c r="J8" s="38">
        <f>D8/$G8</f>
        <v>1600</v>
      </c>
    </row>
    <row r="9" spans="1:10" x14ac:dyDescent="0.25">
      <c r="A9" s="14" t="s">
        <v>108</v>
      </c>
      <c r="B9" s="5">
        <v>3</v>
      </c>
      <c r="C9" s="32">
        <v>15000</v>
      </c>
      <c r="D9" s="34">
        <f t="shared" ref="D9" si="1">C9*B9</f>
        <v>45000</v>
      </c>
      <c r="F9" s="14" t="s">
        <v>108</v>
      </c>
      <c r="G9" s="37">
        <v>10</v>
      </c>
      <c r="H9" s="38">
        <f>D9/$G9</f>
        <v>4500</v>
      </c>
      <c r="I9" s="38">
        <f>D9/$G9</f>
        <v>4500</v>
      </c>
      <c r="J9" s="38">
        <f>D9/$G9</f>
        <v>4500</v>
      </c>
    </row>
    <row r="10" spans="1:10" x14ac:dyDescent="0.25">
      <c r="A10" s="141" t="s">
        <v>139</v>
      </c>
      <c r="B10" s="198"/>
      <c r="C10" s="199"/>
      <c r="D10" s="200"/>
      <c r="F10" s="141" t="s">
        <v>139</v>
      </c>
      <c r="G10" s="140" t="s">
        <v>144</v>
      </c>
      <c r="H10" s="201"/>
      <c r="I10" s="202"/>
      <c r="J10" s="203"/>
    </row>
    <row r="11" spans="1:10" x14ac:dyDescent="0.25">
      <c r="A11" s="14" t="s">
        <v>109</v>
      </c>
      <c r="B11" s="5">
        <v>5</v>
      </c>
      <c r="C11" s="32">
        <v>30000</v>
      </c>
      <c r="D11" s="34">
        <f t="shared" si="0"/>
        <v>150000</v>
      </c>
      <c r="F11" s="14" t="s">
        <v>109</v>
      </c>
      <c r="G11" s="37">
        <v>3</v>
      </c>
      <c r="H11" s="38">
        <f>D11/$G11</f>
        <v>50000</v>
      </c>
      <c r="I11" s="38">
        <f>D11/$G11</f>
        <v>50000</v>
      </c>
      <c r="J11" s="38">
        <f>D11/$G11</f>
        <v>50000</v>
      </c>
    </row>
    <row r="12" spans="1:10" x14ac:dyDescent="0.25">
      <c r="A12" s="14" t="s">
        <v>107</v>
      </c>
      <c r="B12" s="5">
        <v>1</v>
      </c>
      <c r="C12" s="32">
        <v>5000</v>
      </c>
      <c r="D12" s="34">
        <f t="shared" si="0"/>
        <v>5000</v>
      </c>
      <c r="F12" s="14" t="s">
        <v>107</v>
      </c>
      <c r="G12" s="37">
        <v>3</v>
      </c>
      <c r="H12" s="38">
        <f>D12/$G12</f>
        <v>1666.6666666666667</v>
      </c>
      <c r="I12" s="38">
        <f>D12/$G12</f>
        <v>1666.6666666666667</v>
      </c>
      <c r="J12" s="38">
        <f>D12/$G12</f>
        <v>1666.6666666666667</v>
      </c>
    </row>
    <row r="13" spans="1:10" x14ac:dyDescent="0.25">
      <c r="A13" s="141" t="s">
        <v>110</v>
      </c>
      <c r="B13" s="198"/>
      <c r="C13" s="199"/>
      <c r="D13" s="200"/>
      <c r="F13" s="141" t="s">
        <v>110</v>
      </c>
      <c r="G13" s="140" t="s">
        <v>144</v>
      </c>
      <c r="H13" s="201"/>
      <c r="I13" s="202"/>
      <c r="J13" s="203"/>
    </row>
    <row r="14" spans="1:10" x14ac:dyDescent="0.25">
      <c r="A14" s="14" t="s">
        <v>113</v>
      </c>
      <c r="B14" s="5">
        <v>2</v>
      </c>
      <c r="C14" s="32">
        <v>15880</v>
      </c>
      <c r="D14" s="34">
        <f t="shared" si="0"/>
        <v>31760</v>
      </c>
      <c r="F14" s="14" t="s">
        <v>113</v>
      </c>
      <c r="G14" s="37">
        <v>3</v>
      </c>
      <c r="H14" s="38">
        <f>D14/$G14</f>
        <v>10586.666666666666</v>
      </c>
      <c r="I14" s="38">
        <f>D14/$G14</f>
        <v>10586.666666666666</v>
      </c>
      <c r="J14" s="38">
        <f>D14/$G14</f>
        <v>10586.666666666666</v>
      </c>
    </row>
    <row r="15" spans="1:10" x14ac:dyDescent="0.25">
      <c r="A15" s="14" t="s">
        <v>114</v>
      </c>
      <c r="B15" s="5">
        <v>2</v>
      </c>
      <c r="C15" s="32">
        <v>20283</v>
      </c>
      <c r="D15" s="34">
        <f t="shared" si="0"/>
        <v>40566</v>
      </c>
      <c r="F15" s="14" t="s">
        <v>114</v>
      </c>
      <c r="G15" s="37">
        <v>3</v>
      </c>
      <c r="H15" s="38">
        <f>D15/$G15</f>
        <v>13522</v>
      </c>
      <c r="I15" s="38">
        <f>D15/$G15</f>
        <v>13522</v>
      </c>
      <c r="J15" s="38">
        <f>D15/$G15</f>
        <v>13522</v>
      </c>
    </row>
    <row r="16" spans="1:10" x14ac:dyDescent="0.25">
      <c r="A16" s="14" t="s">
        <v>115</v>
      </c>
      <c r="B16" s="5">
        <v>1</v>
      </c>
      <c r="C16" s="32">
        <v>14333</v>
      </c>
      <c r="D16" s="34">
        <f t="shared" si="0"/>
        <v>14333</v>
      </c>
      <c r="F16" s="14" t="s">
        <v>115</v>
      </c>
      <c r="G16" s="37">
        <v>3</v>
      </c>
      <c r="H16" s="38">
        <f>D16/$G16</f>
        <v>4777.666666666667</v>
      </c>
      <c r="I16" s="38">
        <f>D16/$G16</f>
        <v>4777.666666666667</v>
      </c>
      <c r="J16" s="38">
        <f>D16/$G16</f>
        <v>4777.666666666667</v>
      </c>
    </row>
    <row r="17" spans="1:10" x14ac:dyDescent="0.25">
      <c r="A17" s="141" t="s">
        <v>140</v>
      </c>
      <c r="B17" s="198"/>
      <c r="C17" s="199"/>
      <c r="D17" s="200"/>
      <c r="F17" s="141" t="s">
        <v>140</v>
      </c>
      <c r="G17" s="140" t="s">
        <v>144</v>
      </c>
      <c r="H17" s="201"/>
      <c r="I17" s="202"/>
      <c r="J17" s="203"/>
    </row>
    <row r="18" spans="1:10" x14ac:dyDescent="0.25">
      <c r="A18" s="14" t="s">
        <v>214</v>
      </c>
      <c r="B18" s="5">
        <v>1</v>
      </c>
      <c r="C18" s="32">
        <f>'Costo de Desarrollo'!F15</f>
        <v>209475</v>
      </c>
      <c r="D18" s="34">
        <f t="shared" si="0"/>
        <v>209475</v>
      </c>
      <c r="F18" s="14" t="s">
        <v>214</v>
      </c>
      <c r="G18" s="37">
        <v>4</v>
      </c>
      <c r="H18" s="38">
        <f>D18/$G18</f>
        <v>52368.75</v>
      </c>
      <c r="I18" s="38">
        <f>D18/$G18</f>
        <v>52368.75</v>
      </c>
      <c r="J18" s="38">
        <f>D18/$G18</f>
        <v>52368.75</v>
      </c>
    </row>
    <row r="19" spans="1:10" ht="21" x14ac:dyDescent="0.35">
      <c r="A19" s="191" t="s">
        <v>136</v>
      </c>
      <c r="B19" s="191"/>
      <c r="C19" s="191"/>
      <c r="D19" s="41">
        <f>SUM(D6:D18)</f>
        <v>578134</v>
      </c>
      <c r="G19" s="39" t="s">
        <v>9</v>
      </c>
      <c r="H19" s="40">
        <f>SUM(H6:H18)</f>
        <v>145621.75</v>
      </c>
      <c r="I19" s="40">
        <f t="shared" ref="I19:J19" si="2">SUM(I6:I18)</f>
        <v>145621.75</v>
      </c>
      <c r="J19" s="40">
        <f t="shared" si="2"/>
        <v>145621.75</v>
      </c>
    </row>
    <row r="22" spans="1:10" x14ac:dyDescent="0.25">
      <c r="A22" t="s">
        <v>202</v>
      </c>
    </row>
    <row r="23" spans="1:10" x14ac:dyDescent="0.25">
      <c r="A23" s="160" t="s">
        <v>104</v>
      </c>
    </row>
    <row r="24" spans="1:10" x14ac:dyDescent="0.25">
      <c r="A24" s="160" t="s">
        <v>138</v>
      </c>
      <c r="B24" s="172" t="s">
        <v>9</v>
      </c>
      <c r="C24" s="173" t="s">
        <v>203</v>
      </c>
      <c r="D24" s="173"/>
      <c r="E24" s="173" t="s">
        <v>215</v>
      </c>
      <c r="F24" s="173" t="s">
        <v>204</v>
      </c>
    </row>
    <row r="25" spans="1:10" x14ac:dyDescent="0.25">
      <c r="A25" s="14" t="s">
        <v>105</v>
      </c>
      <c r="B25" s="171">
        <f>D6</f>
        <v>36000</v>
      </c>
      <c r="C25">
        <v>10</v>
      </c>
      <c r="E25" s="28">
        <f>H6*3</f>
        <v>10800</v>
      </c>
      <c r="F25" s="28">
        <f>B25-E25</f>
        <v>25200</v>
      </c>
    </row>
    <row r="26" spans="1:10" x14ac:dyDescent="0.25">
      <c r="A26" s="14" t="s">
        <v>106</v>
      </c>
      <c r="B26" s="171">
        <f>D7</f>
        <v>30000</v>
      </c>
      <c r="C26">
        <v>10</v>
      </c>
      <c r="E26" s="28">
        <f>H7*3</f>
        <v>9000</v>
      </c>
      <c r="F26" s="28">
        <f t="shared" ref="F26:F31" si="3">B26-E26</f>
        <v>21000</v>
      </c>
    </row>
    <row r="27" spans="1:10" x14ac:dyDescent="0.25">
      <c r="A27" s="14" t="s">
        <v>112</v>
      </c>
      <c r="B27" s="171">
        <f>D8</f>
        <v>16000</v>
      </c>
      <c r="C27">
        <v>10</v>
      </c>
      <c r="E27" s="28">
        <f>H8*3</f>
        <v>4800</v>
      </c>
      <c r="F27" s="28">
        <f t="shared" si="3"/>
        <v>11200</v>
      </c>
    </row>
    <row r="28" spans="1:10" x14ac:dyDescent="0.25">
      <c r="A28" s="14" t="s">
        <v>108</v>
      </c>
      <c r="B28" s="171">
        <f>D9</f>
        <v>45000</v>
      </c>
      <c r="C28">
        <v>10</v>
      </c>
      <c r="E28" s="28">
        <f>H9*3</f>
        <v>13500</v>
      </c>
      <c r="F28" s="28">
        <f t="shared" si="3"/>
        <v>31500</v>
      </c>
    </row>
    <row r="29" spans="1:10" x14ac:dyDescent="0.25">
      <c r="A29" s="141" t="s">
        <v>139</v>
      </c>
      <c r="F29" s="28"/>
    </row>
    <row r="30" spans="1:10" x14ac:dyDescent="0.25">
      <c r="A30" s="14" t="s">
        <v>109</v>
      </c>
      <c r="B30" s="171">
        <f>D11</f>
        <v>150000</v>
      </c>
      <c r="C30">
        <v>3</v>
      </c>
      <c r="E30" s="28">
        <f>H11*3</f>
        <v>150000</v>
      </c>
      <c r="F30" s="28">
        <f t="shared" si="3"/>
        <v>0</v>
      </c>
    </row>
    <row r="31" spans="1:10" x14ac:dyDescent="0.25">
      <c r="A31" s="14" t="s">
        <v>107</v>
      </c>
      <c r="B31" s="171">
        <f>D12</f>
        <v>5000</v>
      </c>
      <c r="C31">
        <v>3</v>
      </c>
      <c r="E31" s="28">
        <f>H12*3</f>
        <v>5000</v>
      </c>
      <c r="F31" s="28">
        <f t="shared" si="3"/>
        <v>0</v>
      </c>
    </row>
    <row r="32" spans="1:10" x14ac:dyDescent="0.25">
      <c r="E32" s="173" t="s">
        <v>9</v>
      </c>
      <c r="F32" s="174">
        <f>SUM(F25:F31)</f>
        <v>88900</v>
      </c>
    </row>
  </sheetData>
  <mergeCells count="9">
    <mergeCell ref="A19:C19"/>
    <mergeCell ref="H4:J4"/>
    <mergeCell ref="B5:D5"/>
    <mergeCell ref="B10:D10"/>
    <mergeCell ref="B13:D13"/>
    <mergeCell ref="B17:D17"/>
    <mergeCell ref="H17:J17"/>
    <mergeCell ref="H13:J13"/>
    <mergeCell ref="H10:J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H4" sqref="H4:I7"/>
    </sheetView>
  </sheetViews>
  <sheetFormatPr defaultColWidth="11.42578125" defaultRowHeight="15" x14ac:dyDescent="0.25"/>
  <cols>
    <col min="1" max="1" width="19.42578125" bestFit="1" customWidth="1"/>
    <col min="4" max="4" width="14" bestFit="1" customWidth="1"/>
    <col min="5" max="5" width="13" bestFit="1" customWidth="1"/>
    <col min="6" max="6" width="13.7109375" bestFit="1" customWidth="1"/>
    <col min="8" max="8" width="16.85546875" style="25" bestFit="1" customWidth="1"/>
  </cols>
  <sheetData>
    <row r="1" spans="1:9" ht="18.75" x14ac:dyDescent="0.3">
      <c r="A1" s="75" t="s">
        <v>174</v>
      </c>
    </row>
    <row r="3" spans="1:9" x14ac:dyDescent="0.25">
      <c r="A3" s="142" t="s">
        <v>121</v>
      </c>
      <c r="B3" s="141" t="s">
        <v>128</v>
      </c>
      <c r="C3" s="141" t="s">
        <v>129</v>
      </c>
      <c r="D3" s="141" t="s">
        <v>130</v>
      </c>
      <c r="E3" s="112"/>
      <c r="F3" s="141" t="s">
        <v>133</v>
      </c>
      <c r="H3" s="25" t="s">
        <v>162</v>
      </c>
    </row>
    <row r="4" spans="1:9" x14ac:dyDescent="0.25">
      <c r="A4" s="35" t="s">
        <v>116</v>
      </c>
      <c r="B4" s="14">
        <v>20</v>
      </c>
      <c r="C4" s="14">
        <v>50</v>
      </c>
      <c r="D4" s="14">
        <v>285</v>
      </c>
      <c r="E4" s="14" t="s">
        <v>132</v>
      </c>
      <c r="F4" s="34">
        <f>D4*C4</f>
        <v>14250</v>
      </c>
      <c r="H4" s="141" t="s">
        <v>135</v>
      </c>
      <c r="I4" s="141" t="s">
        <v>134</v>
      </c>
    </row>
    <row r="5" spans="1:9" x14ac:dyDescent="0.25">
      <c r="A5" s="35" t="s">
        <v>117</v>
      </c>
      <c r="B5" s="14">
        <v>20</v>
      </c>
      <c r="C5" s="14">
        <v>50</v>
      </c>
      <c r="D5" s="14">
        <v>285</v>
      </c>
      <c r="E5" s="14" t="s">
        <v>132</v>
      </c>
      <c r="F5" s="34">
        <f t="shared" ref="F5:F14" si="0">D5*C5</f>
        <v>14250</v>
      </c>
      <c r="H5" s="141" t="s">
        <v>132</v>
      </c>
      <c r="I5" s="34">
        <v>285</v>
      </c>
    </row>
    <row r="6" spans="1:9" x14ac:dyDescent="0.25">
      <c r="A6" s="35" t="s">
        <v>118</v>
      </c>
      <c r="B6" s="14">
        <v>20</v>
      </c>
      <c r="C6" s="14">
        <v>50</v>
      </c>
      <c r="D6" s="14">
        <v>285</v>
      </c>
      <c r="E6" s="14" t="s">
        <v>132</v>
      </c>
      <c r="F6" s="34">
        <f t="shared" si="0"/>
        <v>14250</v>
      </c>
      <c r="H6" s="141" t="s">
        <v>127</v>
      </c>
      <c r="I6" s="34">
        <v>270</v>
      </c>
    </row>
    <row r="7" spans="1:9" x14ac:dyDescent="0.25">
      <c r="A7" s="35" t="s">
        <v>119</v>
      </c>
      <c r="B7" s="14">
        <v>15</v>
      </c>
      <c r="C7" s="14">
        <v>50</v>
      </c>
      <c r="D7" s="14">
        <v>285</v>
      </c>
      <c r="E7" s="14" t="s">
        <v>132</v>
      </c>
      <c r="F7" s="34">
        <f t="shared" si="0"/>
        <v>14250</v>
      </c>
      <c r="H7" s="141" t="s">
        <v>131</v>
      </c>
      <c r="I7" s="34">
        <v>300</v>
      </c>
    </row>
    <row r="8" spans="1:9" x14ac:dyDescent="0.25">
      <c r="A8" s="35" t="s">
        <v>120</v>
      </c>
      <c r="B8" s="14">
        <v>18</v>
      </c>
      <c r="C8" s="14">
        <v>35</v>
      </c>
      <c r="D8" s="14">
        <v>285</v>
      </c>
      <c r="E8" s="14" t="s">
        <v>132</v>
      </c>
      <c r="F8" s="34">
        <f t="shared" si="0"/>
        <v>9975</v>
      </c>
    </row>
    <row r="9" spans="1:9" x14ac:dyDescent="0.25">
      <c r="A9" s="142" t="s">
        <v>122</v>
      </c>
      <c r="B9" s="141" t="s">
        <v>128</v>
      </c>
      <c r="C9" s="141" t="s">
        <v>129</v>
      </c>
      <c r="D9" s="141" t="s">
        <v>130</v>
      </c>
      <c r="E9" s="112"/>
      <c r="F9" s="141" t="s">
        <v>133</v>
      </c>
    </row>
    <row r="10" spans="1:9" x14ac:dyDescent="0.25">
      <c r="A10" s="35" t="s">
        <v>123</v>
      </c>
      <c r="B10" s="14">
        <v>2</v>
      </c>
      <c r="C10" s="14">
        <v>18</v>
      </c>
      <c r="D10" s="14">
        <v>300</v>
      </c>
      <c r="E10" s="14" t="s">
        <v>131</v>
      </c>
      <c r="F10" s="34">
        <f t="shared" si="0"/>
        <v>5400</v>
      </c>
    </row>
    <row r="11" spans="1:9" x14ac:dyDescent="0.25">
      <c r="A11" s="35" t="s">
        <v>124</v>
      </c>
      <c r="B11" s="14">
        <v>18</v>
      </c>
      <c r="C11" s="14">
        <v>15</v>
      </c>
      <c r="D11" s="14">
        <v>300</v>
      </c>
      <c r="E11" s="14" t="s">
        <v>131</v>
      </c>
      <c r="F11" s="34">
        <f t="shared" si="0"/>
        <v>4500</v>
      </c>
    </row>
    <row r="12" spans="1:9" x14ac:dyDescent="0.25">
      <c r="A12" s="35" t="s">
        <v>125</v>
      </c>
      <c r="B12" s="14">
        <v>18</v>
      </c>
      <c r="C12" s="14">
        <v>15</v>
      </c>
      <c r="D12" s="14">
        <v>300</v>
      </c>
      <c r="E12" s="14" t="s">
        <v>131</v>
      </c>
      <c r="F12" s="34">
        <f t="shared" si="0"/>
        <v>4500</v>
      </c>
    </row>
    <row r="13" spans="1:9" x14ac:dyDescent="0.25">
      <c r="A13" s="35" t="s">
        <v>126</v>
      </c>
      <c r="B13" s="14">
        <v>50</v>
      </c>
      <c r="C13" s="14">
        <v>400</v>
      </c>
      <c r="D13" s="14">
        <v>300</v>
      </c>
      <c r="E13" s="14" t="s">
        <v>131</v>
      </c>
      <c r="F13" s="34">
        <f t="shared" si="0"/>
        <v>120000</v>
      </c>
    </row>
    <row r="14" spans="1:9" x14ac:dyDescent="0.25">
      <c r="A14" s="35" t="s">
        <v>127</v>
      </c>
      <c r="B14" s="14">
        <v>5</v>
      </c>
      <c r="C14" s="14">
        <v>30</v>
      </c>
      <c r="D14" s="14">
        <v>270</v>
      </c>
      <c r="E14" s="14" t="s">
        <v>127</v>
      </c>
      <c r="F14" s="34">
        <f t="shared" si="0"/>
        <v>8100</v>
      </c>
    </row>
    <row r="15" spans="1:9" ht="21" x14ac:dyDescent="0.35">
      <c r="A15" s="204" t="s">
        <v>9</v>
      </c>
      <c r="B15" s="204"/>
      <c r="C15" s="204"/>
      <c r="D15" s="204"/>
      <c r="E15" s="204"/>
      <c r="F15" s="143">
        <f>SUM(F4:F14)</f>
        <v>209475</v>
      </c>
    </row>
  </sheetData>
  <mergeCells count="1">
    <mergeCell ref="A15:E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2"/>
  <sheetViews>
    <sheetView showGridLines="0" topLeftCell="A71" zoomScale="70" zoomScaleNormal="70" workbookViewId="0">
      <selection activeCell="A73" sqref="A73:O92"/>
    </sheetView>
  </sheetViews>
  <sheetFormatPr defaultColWidth="11.42578125" defaultRowHeight="18.75" x14ac:dyDescent="0.3"/>
  <cols>
    <col min="1" max="1" width="16.42578125" style="74" customWidth="1"/>
    <col min="2" max="3" width="21.5703125" style="74" bestFit="1" customWidth="1"/>
    <col min="4" max="6" width="16.7109375" style="74" bestFit="1" customWidth="1"/>
    <col min="7" max="15" width="12.85546875" style="74" bestFit="1" customWidth="1"/>
    <col min="16" max="16384" width="11.42578125" style="74"/>
  </cols>
  <sheetData>
    <row r="3" spans="1:15" x14ac:dyDescent="0.3">
      <c r="A3" s="153" t="s">
        <v>35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</row>
    <row r="4" spans="1:15" x14ac:dyDescent="0.3">
      <c r="A4" s="152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</row>
    <row r="5" spans="1:15" x14ac:dyDescent="0.3">
      <c r="A5" s="152" t="s">
        <v>159</v>
      </c>
      <c r="B5" s="137"/>
      <c r="C5" s="137"/>
      <c r="D5" s="205" t="s">
        <v>149</v>
      </c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</row>
    <row r="6" spans="1:15" x14ac:dyDescent="0.3">
      <c r="C6" s="74" t="s">
        <v>152</v>
      </c>
      <c r="D6" s="85">
        <v>1</v>
      </c>
      <c r="E6" s="85">
        <v>2</v>
      </c>
      <c r="F6" s="85">
        <v>3</v>
      </c>
      <c r="G6" s="85">
        <v>4</v>
      </c>
      <c r="H6" s="85">
        <v>5</v>
      </c>
      <c r="I6" s="85">
        <v>6</v>
      </c>
      <c r="J6" s="85">
        <v>7</v>
      </c>
      <c r="K6" s="85">
        <v>8</v>
      </c>
      <c r="L6" s="85">
        <v>9</v>
      </c>
      <c r="M6" s="85">
        <v>10</v>
      </c>
      <c r="N6" s="85">
        <v>11</v>
      </c>
      <c r="O6" s="85">
        <v>12</v>
      </c>
    </row>
    <row r="7" spans="1:15" x14ac:dyDescent="0.3">
      <c r="A7" s="85"/>
      <c r="B7" s="85" t="s">
        <v>150</v>
      </c>
      <c r="C7" s="105">
        <f>SUM(D7:O8)</f>
        <v>520000</v>
      </c>
      <c r="D7" s="90">
        <v>40000</v>
      </c>
      <c r="E7" s="90">
        <v>40000</v>
      </c>
      <c r="F7" s="90">
        <v>40000</v>
      </c>
      <c r="G7" s="90">
        <v>40000</v>
      </c>
      <c r="H7" s="90">
        <v>40000</v>
      </c>
      <c r="I7" s="90">
        <v>40000</v>
      </c>
      <c r="J7" s="90">
        <v>40000</v>
      </c>
      <c r="K7" s="90">
        <v>40000</v>
      </c>
      <c r="L7" s="90">
        <v>40000</v>
      </c>
      <c r="M7" s="90">
        <v>40000</v>
      </c>
      <c r="N7" s="90">
        <v>40000</v>
      </c>
      <c r="O7" s="90">
        <v>40000</v>
      </c>
    </row>
    <row r="8" spans="1:15" x14ac:dyDescent="0.3">
      <c r="A8" s="85" t="s">
        <v>146</v>
      </c>
      <c r="B8" s="85"/>
      <c r="C8" s="85"/>
      <c r="D8" s="85"/>
      <c r="E8" s="85"/>
      <c r="F8" s="85"/>
      <c r="G8" s="85"/>
      <c r="H8" s="85"/>
      <c r="I8" s="90">
        <f>I7/2</f>
        <v>20000</v>
      </c>
      <c r="J8" s="85"/>
      <c r="K8" s="85"/>
      <c r="L8" s="85"/>
      <c r="M8" s="85"/>
      <c r="N8" s="85"/>
      <c r="O8" s="90">
        <f>O7/2</f>
        <v>20000</v>
      </c>
    </row>
    <row r="9" spans="1:15" x14ac:dyDescent="0.3">
      <c r="A9" s="85" t="s">
        <v>147</v>
      </c>
      <c r="B9" s="102">
        <v>0.17</v>
      </c>
      <c r="C9" s="90">
        <f t="shared" ref="C9:H9" si="0">C7*$B$9</f>
        <v>88400</v>
      </c>
      <c r="D9" s="90">
        <f t="shared" si="0"/>
        <v>6800.0000000000009</v>
      </c>
      <c r="E9" s="90">
        <f t="shared" si="0"/>
        <v>6800.0000000000009</v>
      </c>
      <c r="F9" s="90">
        <f t="shared" si="0"/>
        <v>6800.0000000000009</v>
      </c>
      <c r="G9" s="90">
        <f t="shared" si="0"/>
        <v>6800.0000000000009</v>
      </c>
      <c r="H9" s="90">
        <f t="shared" si="0"/>
        <v>6800.0000000000009</v>
      </c>
      <c r="I9" s="90">
        <f>(I7+I8)*$B$9</f>
        <v>10200</v>
      </c>
      <c r="J9" s="90">
        <f>J7*$B$9</f>
        <v>6800.0000000000009</v>
      </c>
      <c r="K9" s="90">
        <f>K7*$B$9</f>
        <v>6800.0000000000009</v>
      </c>
      <c r="L9" s="90">
        <f>L7*$B$9</f>
        <v>6800.0000000000009</v>
      </c>
      <c r="M9" s="90">
        <f>M7*$B$9</f>
        <v>6800.0000000000009</v>
      </c>
      <c r="N9" s="90">
        <f>N7*$B$9</f>
        <v>6800.0000000000009</v>
      </c>
      <c r="O9" s="90">
        <f>(O7+O8)*$B$9</f>
        <v>10200</v>
      </c>
    </row>
    <row r="10" spans="1:15" x14ac:dyDescent="0.3">
      <c r="A10" s="85" t="s">
        <v>148</v>
      </c>
      <c r="B10" s="102">
        <v>0.06</v>
      </c>
      <c r="C10" s="90">
        <f t="shared" ref="C10:H10" si="1">C7*$B$10</f>
        <v>31200</v>
      </c>
      <c r="D10" s="90">
        <f t="shared" si="1"/>
        <v>2400</v>
      </c>
      <c r="E10" s="90">
        <f t="shared" si="1"/>
        <v>2400</v>
      </c>
      <c r="F10" s="90">
        <f t="shared" si="1"/>
        <v>2400</v>
      </c>
      <c r="G10" s="90">
        <f t="shared" si="1"/>
        <v>2400</v>
      </c>
      <c r="H10" s="90">
        <f t="shared" si="1"/>
        <v>2400</v>
      </c>
      <c r="I10" s="90">
        <f>(I7+I8)*$B$10</f>
        <v>3600</v>
      </c>
      <c r="J10" s="90">
        <f>J7*$B$10</f>
        <v>2400</v>
      </c>
      <c r="K10" s="90">
        <f>K7*$B$10</f>
        <v>2400</v>
      </c>
      <c r="L10" s="90">
        <f>L7*$B$10</f>
        <v>2400</v>
      </c>
      <c r="M10" s="90">
        <f>M7*$B$10</f>
        <v>2400</v>
      </c>
      <c r="N10" s="90">
        <f>N7*$B$10</f>
        <v>2400</v>
      </c>
      <c r="O10" s="90">
        <f>(O7+O8)*$B$10</f>
        <v>3600</v>
      </c>
    </row>
    <row r="11" spans="1:15" x14ac:dyDescent="0.3">
      <c r="C11" s="75" t="s">
        <v>151</v>
      </c>
      <c r="D11" s="106">
        <f>D7-D9-D10</f>
        <v>30800</v>
      </c>
      <c r="E11" s="106">
        <f t="shared" ref="E11:N11" si="2">E7-E9-E10</f>
        <v>30800</v>
      </c>
      <c r="F11" s="106">
        <f t="shared" si="2"/>
        <v>30800</v>
      </c>
      <c r="G11" s="106">
        <f t="shared" si="2"/>
        <v>30800</v>
      </c>
      <c r="H11" s="106">
        <f t="shared" si="2"/>
        <v>30800</v>
      </c>
      <c r="I11" s="106">
        <f>I7+I8-I9-I10</f>
        <v>46200</v>
      </c>
      <c r="J11" s="106">
        <f t="shared" si="2"/>
        <v>30800</v>
      </c>
      <c r="K11" s="106">
        <f t="shared" si="2"/>
        <v>30800</v>
      </c>
      <c r="L11" s="106">
        <f t="shared" si="2"/>
        <v>30800</v>
      </c>
      <c r="M11" s="106">
        <f t="shared" si="2"/>
        <v>30800</v>
      </c>
      <c r="N11" s="106">
        <f t="shared" si="2"/>
        <v>30800</v>
      </c>
      <c r="O11" s="106">
        <f>O7+O8-O9-O10</f>
        <v>46200</v>
      </c>
    </row>
    <row r="15" spans="1:15" x14ac:dyDescent="0.3">
      <c r="A15" s="152" t="s">
        <v>160</v>
      </c>
      <c r="B15" s="137"/>
      <c r="C15" s="137"/>
      <c r="D15" s="205" t="s">
        <v>149</v>
      </c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</row>
    <row r="16" spans="1:15" x14ac:dyDescent="0.3">
      <c r="A16" s="137"/>
      <c r="B16" s="137"/>
      <c r="C16" s="137" t="s">
        <v>152</v>
      </c>
      <c r="D16" s="138">
        <v>1</v>
      </c>
      <c r="E16" s="138">
        <v>2</v>
      </c>
      <c r="F16" s="138">
        <v>3</v>
      </c>
      <c r="G16" s="138">
        <v>4</v>
      </c>
      <c r="H16" s="138">
        <v>5</v>
      </c>
      <c r="I16" s="138">
        <v>6</v>
      </c>
      <c r="J16" s="138">
        <v>7</v>
      </c>
      <c r="K16" s="138">
        <v>8</v>
      </c>
      <c r="L16" s="138">
        <v>9</v>
      </c>
      <c r="M16" s="138">
        <v>10</v>
      </c>
      <c r="N16" s="138">
        <v>11</v>
      </c>
      <c r="O16" s="138">
        <v>12</v>
      </c>
    </row>
    <row r="17" spans="1:15" x14ac:dyDescent="0.3">
      <c r="A17" s="85"/>
      <c r="B17" s="85" t="s">
        <v>150</v>
      </c>
      <c r="C17" s="105">
        <f>SUM(D17:O18)</f>
        <v>520000</v>
      </c>
      <c r="D17" s="90">
        <v>40000</v>
      </c>
      <c r="E17" s="90">
        <v>40000</v>
      </c>
      <c r="F17" s="90">
        <v>40000</v>
      </c>
      <c r="G17" s="90">
        <v>40000</v>
      </c>
      <c r="H17" s="90">
        <v>40000</v>
      </c>
      <c r="I17" s="90">
        <v>40000</v>
      </c>
      <c r="J17" s="90">
        <v>40000</v>
      </c>
      <c r="K17" s="90">
        <v>40000</v>
      </c>
      <c r="L17" s="90">
        <v>40000</v>
      </c>
      <c r="M17" s="90">
        <v>40000</v>
      </c>
      <c r="N17" s="90">
        <v>40000</v>
      </c>
      <c r="O17" s="90">
        <v>40000</v>
      </c>
    </row>
    <row r="18" spans="1:15" x14ac:dyDescent="0.3">
      <c r="A18" s="85" t="s">
        <v>146</v>
      </c>
      <c r="B18" s="85"/>
      <c r="C18" s="85"/>
      <c r="D18" s="85"/>
      <c r="E18" s="85"/>
      <c r="F18" s="85"/>
      <c r="G18" s="85"/>
      <c r="H18" s="85"/>
      <c r="I18" s="90">
        <f>I17/2</f>
        <v>20000</v>
      </c>
      <c r="J18" s="85"/>
      <c r="K18" s="85"/>
      <c r="L18" s="85"/>
      <c r="M18" s="85"/>
      <c r="N18" s="85"/>
      <c r="O18" s="90">
        <f>O17/2</f>
        <v>20000</v>
      </c>
    </row>
    <row r="19" spans="1:15" x14ac:dyDescent="0.3">
      <c r="A19" s="85" t="s">
        <v>147</v>
      </c>
      <c r="B19" s="102">
        <v>0.17</v>
      </c>
      <c r="C19" s="90">
        <f>C17*$B$9</f>
        <v>88400</v>
      </c>
      <c r="D19" s="90">
        <f>D17*$B$9</f>
        <v>6800.0000000000009</v>
      </c>
      <c r="E19" s="90">
        <f t="shared" ref="E19:H19" si="3">E17*$B$9</f>
        <v>6800.0000000000009</v>
      </c>
      <c r="F19" s="90">
        <f t="shared" si="3"/>
        <v>6800.0000000000009</v>
      </c>
      <c r="G19" s="90">
        <f t="shared" si="3"/>
        <v>6800.0000000000009</v>
      </c>
      <c r="H19" s="90">
        <f t="shared" si="3"/>
        <v>6800.0000000000009</v>
      </c>
      <c r="I19" s="90">
        <f>(I17+I18)*$B$9</f>
        <v>10200</v>
      </c>
      <c r="J19" s="90">
        <f t="shared" ref="J19:N19" si="4">J17*$B$9</f>
        <v>6800.0000000000009</v>
      </c>
      <c r="K19" s="90">
        <f t="shared" si="4"/>
        <v>6800.0000000000009</v>
      </c>
      <c r="L19" s="90">
        <f t="shared" si="4"/>
        <v>6800.0000000000009</v>
      </c>
      <c r="M19" s="90">
        <f t="shared" si="4"/>
        <v>6800.0000000000009</v>
      </c>
      <c r="N19" s="90">
        <f t="shared" si="4"/>
        <v>6800.0000000000009</v>
      </c>
      <c r="O19" s="90">
        <f>(O17+O18)*$B$9</f>
        <v>10200</v>
      </c>
    </row>
    <row r="20" spans="1:15" x14ac:dyDescent="0.3">
      <c r="A20" s="85" t="s">
        <v>148</v>
      </c>
      <c r="B20" s="102">
        <v>0.06</v>
      </c>
      <c r="C20" s="90">
        <f>C17*$B$10</f>
        <v>31200</v>
      </c>
      <c r="D20" s="90">
        <f>D17*$B$10</f>
        <v>2400</v>
      </c>
      <c r="E20" s="90">
        <f t="shared" ref="E20:H20" si="5">E17*$B$10</f>
        <v>2400</v>
      </c>
      <c r="F20" s="90">
        <f t="shared" si="5"/>
        <v>2400</v>
      </c>
      <c r="G20" s="90">
        <f t="shared" si="5"/>
        <v>2400</v>
      </c>
      <c r="H20" s="90">
        <f t="shared" si="5"/>
        <v>2400</v>
      </c>
      <c r="I20" s="90">
        <f>(I17+I18)*$B$10</f>
        <v>3600</v>
      </c>
      <c r="J20" s="90">
        <f>J17*$B$10</f>
        <v>2400</v>
      </c>
      <c r="K20" s="90">
        <f>K17*$B$10</f>
        <v>2400</v>
      </c>
      <c r="L20" s="90">
        <f>L17*$B$10</f>
        <v>2400</v>
      </c>
      <c r="M20" s="90">
        <f>M17*$B$10</f>
        <v>2400</v>
      </c>
      <c r="N20" s="90">
        <f>N17*$B$10</f>
        <v>2400</v>
      </c>
      <c r="O20" s="90">
        <f>(O17+O18)*$B$10</f>
        <v>3600</v>
      </c>
    </row>
    <row r="21" spans="1:15" x14ac:dyDescent="0.3">
      <c r="C21" s="75" t="s">
        <v>151</v>
      </c>
      <c r="D21" s="106">
        <f>D17-D19-D20</f>
        <v>30800</v>
      </c>
      <c r="E21" s="106">
        <f t="shared" ref="E21" si="6">E17-E19-E20</f>
        <v>30800</v>
      </c>
      <c r="F21" s="106">
        <f t="shared" ref="F21" si="7">F17-F19-F20</f>
        <v>30800</v>
      </c>
      <c r="G21" s="106">
        <f t="shared" ref="G21" si="8">G17-G19-G20</f>
        <v>30800</v>
      </c>
      <c r="H21" s="106">
        <f t="shared" ref="H21" si="9">H17-H19-H20</f>
        <v>30800</v>
      </c>
      <c r="I21" s="106">
        <f>I17+I18-I19-I20</f>
        <v>46200</v>
      </c>
      <c r="J21" s="106">
        <f t="shared" ref="J21:N21" si="10">J17-J19-J20</f>
        <v>30800</v>
      </c>
      <c r="K21" s="106">
        <f t="shared" si="10"/>
        <v>30800</v>
      </c>
      <c r="L21" s="106">
        <f t="shared" si="10"/>
        <v>30800</v>
      </c>
      <c r="M21" s="106">
        <f t="shared" si="10"/>
        <v>30800</v>
      </c>
      <c r="N21" s="106">
        <f t="shared" si="10"/>
        <v>30800</v>
      </c>
      <c r="O21" s="106">
        <f>O17+O18-O19-O20</f>
        <v>46200</v>
      </c>
    </row>
    <row r="24" spans="1:15" x14ac:dyDescent="0.3">
      <c r="A24" s="152" t="s">
        <v>161</v>
      </c>
      <c r="B24" s="137"/>
      <c r="C24" s="137"/>
      <c r="D24" s="205" t="s">
        <v>149</v>
      </c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</row>
    <row r="25" spans="1:15" x14ac:dyDescent="0.3">
      <c r="A25" s="137"/>
      <c r="B25" s="137"/>
      <c r="C25" s="137" t="s">
        <v>152</v>
      </c>
      <c r="D25" s="138">
        <v>1</v>
      </c>
      <c r="E25" s="138">
        <v>2</v>
      </c>
      <c r="F25" s="138">
        <v>3</v>
      </c>
      <c r="G25" s="138">
        <v>4</v>
      </c>
      <c r="H25" s="138">
        <v>5</v>
      </c>
      <c r="I25" s="138">
        <v>6</v>
      </c>
      <c r="J25" s="138">
        <v>7</v>
      </c>
      <c r="K25" s="138">
        <v>8</v>
      </c>
      <c r="L25" s="138">
        <v>9</v>
      </c>
      <c r="M25" s="138">
        <v>10</v>
      </c>
      <c r="N25" s="138">
        <v>11</v>
      </c>
      <c r="O25" s="138">
        <v>12</v>
      </c>
    </row>
    <row r="26" spans="1:15" x14ac:dyDescent="0.3">
      <c r="A26" s="85"/>
      <c r="B26" s="85" t="s">
        <v>150</v>
      </c>
      <c r="C26" s="105">
        <f>SUM(D26:O27)</f>
        <v>520000</v>
      </c>
      <c r="D26" s="90">
        <v>40000</v>
      </c>
      <c r="E26" s="90">
        <v>40000</v>
      </c>
      <c r="F26" s="90">
        <v>40000</v>
      </c>
      <c r="G26" s="90">
        <v>40000</v>
      </c>
      <c r="H26" s="90">
        <v>40000</v>
      </c>
      <c r="I26" s="90">
        <v>40000</v>
      </c>
      <c r="J26" s="90">
        <v>40000</v>
      </c>
      <c r="K26" s="90">
        <v>40000</v>
      </c>
      <c r="L26" s="90">
        <v>40000</v>
      </c>
      <c r="M26" s="90">
        <v>40000</v>
      </c>
      <c r="N26" s="90">
        <v>40000</v>
      </c>
      <c r="O26" s="90">
        <v>40000</v>
      </c>
    </row>
    <row r="27" spans="1:15" x14ac:dyDescent="0.3">
      <c r="A27" s="85" t="s">
        <v>146</v>
      </c>
      <c r="B27" s="85"/>
      <c r="C27" s="85"/>
      <c r="D27" s="85"/>
      <c r="E27" s="85"/>
      <c r="F27" s="85"/>
      <c r="G27" s="85"/>
      <c r="H27" s="85"/>
      <c r="I27" s="90">
        <f>I26/2</f>
        <v>20000</v>
      </c>
      <c r="J27" s="85"/>
      <c r="K27" s="85"/>
      <c r="L27" s="85"/>
      <c r="M27" s="85"/>
      <c r="N27" s="85"/>
      <c r="O27" s="90">
        <f>O26/2</f>
        <v>20000</v>
      </c>
    </row>
    <row r="28" spans="1:15" x14ac:dyDescent="0.3">
      <c r="A28" s="85" t="s">
        <v>147</v>
      </c>
      <c r="B28" s="102">
        <v>0.17</v>
      </c>
      <c r="C28" s="90">
        <f>C26*$B$9</f>
        <v>88400</v>
      </c>
      <c r="D28" s="90">
        <f>D26*$B$9</f>
        <v>6800.0000000000009</v>
      </c>
      <c r="E28" s="90">
        <f t="shared" ref="E28:H28" si="11">E26*$B$9</f>
        <v>6800.0000000000009</v>
      </c>
      <c r="F28" s="90">
        <f t="shared" si="11"/>
        <v>6800.0000000000009</v>
      </c>
      <c r="G28" s="90">
        <f t="shared" si="11"/>
        <v>6800.0000000000009</v>
      </c>
      <c r="H28" s="90">
        <f t="shared" si="11"/>
        <v>6800.0000000000009</v>
      </c>
      <c r="I28" s="90">
        <f>(I26+I27)*$B$9</f>
        <v>10200</v>
      </c>
      <c r="J28" s="90">
        <f t="shared" ref="J28:N28" si="12">J26*$B$9</f>
        <v>6800.0000000000009</v>
      </c>
      <c r="K28" s="90">
        <f t="shared" si="12"/>
        <v>6800.0000000000009</v>
      </c>
      <c r="L28" s="90">
        <f t="shared" si="12"/>
        <v>6800.0000000000009</v>
      </c>
      <c r="M28" s="90">
        <f t="shared" si="12"/>
        <v>6800.0000000000009</v>
      </c>
      <c r="N28" s="90">
        <f t="shared" si="12"/>
        <v>6800.0000000000009</v>
      </c>
      <c r="O28" s="90">
        <f>(O26+O27)*$B$9</f>
        <v>10200</v>
      </c>
    </row>
    <row r="29" spans="1:15" x14ac:dyDescent="0.3">
      <c r="A29" s="85" t="s">
        <v>148</v>
      </c>
      <c r="B29" s="102">
        <v>0.06</v>
      </c>
      <c r="C29" s="90">
        <f>C26*$B$10</f>
        <v>31200</v>
      </c>
      <c r="D29" s="90">
        <f>D26*$B$10</f>
        <v>2400</v>
      </c>
      <c r="E29" s="90">
        <f t="shared" ref="E29:H29" si="13">E26*$B$10</f>
        <v>2400</v>
      </c>
      <c r="F29" s="90">
        <f t="shared" si="13"/>
        <v>2400</v>
      </c>
      <c r="G29" s="90">
        <f t="shared" si="13"/>
        <v>2400</v>
      </c>
      <c r="H29" s="90">
        <f t="shared" si="13"/>
        <v>2400</v>
      </c>
      <c r="I29" s="90">
        <f>(I26+I27)*$B$10</f>
        <v>3600</v>
      </c>
      <c r="J29" s="90">
        <f>J26*$B$10</f>
        <v>2400</v>
      </c>
      <c r="K29" s="90">
        <f>K26*$B$10</f>
        <v>2400</v>
      </c>
      <c r="L29" s="90">
        <f>L26*$B$10</f>
        <v>2400</v>
      </c>
      <c r="M29" s="90">
        <f>M26*$B$10</f>
        <v>2400</v>
      </c>
      <c r="N29" s="90">
        <f>N26*$B$10</f>
        <v>2400</v>
      </c>
      <c r="O29" s="90">
        <f>(O26+O27)*$B$10</f>
        <v>3600</v>
      </c>
    </row>
    <row r="30" spans="1:15" x14ac:dyDescent="0.3">
      <c r="C30" s="75" t="s">
        <v>151</v>
      </c>
      <c r="D30" s="106">
        <f>D26-D28-D29</f>
        <v>30800</v>
      </c>
      <c r="E30" s="106">
        <f t="shared" ref="E30" si="14">E26-E28-E29</f>
        <v>30800</v>
      </c>
      <c r="F30" s="106">
        <f t="shared" ref="F30" si="15">F26-F28-F29</f>
        <v>30800</v>
      </c>
      <c r="G30" s="106">
        <f t="shared" ref="G30" si="16">G26-G28-G29</f>
        <v>30800</v>
      </c>
      <c r="H30" s="106">
        <f t="shared" ref="H30" si="17">H26-H28-H29</f>
        <v>30800</v>
      </c>
      <c r="I30" s="106">
        <f>I26+I27-I28-I29</f>
        <v>46200</v>
      </c>
      <c r="J30" s="106">
        <f t="shared" ref="J30:N30" si="18">J26-J28-J29</f>
        <v>30800</v>
      </c>
      <c r="K30" s="106">
        <f t="shared" si="18"/>
        <v>30800</v>
      </c>
      <c r="L30" s="106">
        <f t="shared" si="18"/>
        <v>30800</v>
      </c>
      <c r="M30" s="106">
        <f t="shared" si="18"/>
        <v>30800</v>
      </c>
      <c r="N30" s="106">
        <f t="shared" si="18"/>
        <v>30800</v>
      </c>
      <c r="O30" s="106">
        <f>O26+O27-O28-O29</f>
        <v>46200</v>
      </c>
    </row>
    <row r="32" spans="1:15" x14ac:dyDescent="0.3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</row>
    <row r="33" spans="1:15" x14ac:dyDescent="0.3">
      <c r="A33" s="137" t="s">
        <v>218</v>
      </c>
      <c r="B33" s="137"/>
      <c r="C33" s="137"/>
      <c r="D33" s="209" t="s">
        <v>149</v>
      </c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1"/>
    </row>
    <row r="34" spans="1:15" x14ac:dyDescent="0.3">
      <c r="C34" s="74" t="s">
        <v>152</v>
      </c>
      <c r="D34" s="85">
        <v>1</v>
      </c>
      <c r="E34" s="85">
        <v>2</v>
      </c>
      <c r="F34" s="85">
        <v>3</v>
      </c>
      <c r="G34" s="85">
        <v>4</v>
      </c>
      <c r="H34" s="85">
        <v>5</v>
      </c>
      <c r="I34" s="85">
        <v>6</v>
      </c>
      <c r="J34" s="85">
        <v>7</v>
      </c>
      <c r="K34" s="85">
        <v>8</v>
      </c>
      <c r="L34" s="85">
        <v>9</v>
      </c>
      <c r="M34" s="85">
        <v>10</v>
      </c>
      <c r="N34" s="85">
        <v>11</v>
      </c>
      <c r="O34" s="85">
        <v>12</v>
      </c>
    </row>
    <row r="35" spans="1:15" x14ac:dyDescent="0.3">
      <c r="A35" s="85"/>
      <c r="B35" s="85" t="s">
        <v>150</v>
      </c>
      <c r="C35" s="105">
        <f>SUM(D35:O36)</f>
        <v>234000</v>
      </c>
      <c r="D35" s="90">
        <v>18000</v>
      </c>
      <c r="E35" s="90">
        <v>18000</v>
      </c>
      <c r="F35" s="90">
        <v>18000</v>
      </c>
      <c r="G35" s="90">
        <v>18000</v>
      </c>
      <c r="H35" s="90">
        <v>18000</v>
      </c>
      <c r="I35" s="90">
        <v>18000</v>
      </c>
      <c r="J35" s="90">
        <v>18000</v>
      </c>
      <c r="K35" s="90">
        <v>18000</v>
      </c>
      <c r="L35" s="90">
        <v>18000</v>
      </c>
      <c r="M35" s="90">
        <v>18000</v>
      </c>
      <c r="N35" s="90">
        <v>18000</v>
      </c>
      <c r="O35" s="90">
        <v>18000</v>
      </c>
    </row>
    <row r="36" spans="1:15" x14ac:dyDescent="0.3">
      <c r="A36" s="85" t="s">
        <v>146</v>
      </c>
      <c r="B36" s="85"/>
      <c r="C36" s="85"/>
      <c r="D36" s="85"/>
      <c r="E36" s="85"/>
      <c r="F36" s="85"/>
      <c r="G36" s="85"/>
      <c r="H36" s="85"/>
      <c r="I36" s="90">
        <f>I35/2</f>
        <v>9000</v>
      </c>
      <c r="J36" s="85"/>
      <c r="K36" s="85"/>
      <c r="L36" s="85"/>
      <c r="M36" s="85"/>
      <c r="N36" s="85"/>
      <c r="O36" s="90">
        <f>O35/2</f>
        <v>9000</v>
      </c>
    </row>
    <row r="37" spans="1:15" x14ac:dyDescent="0.3">
      <c r="A37" s="85" t="s">
        <v>147</v>
      </c>
      <c r="B37" s="102">
        <v>0.17</v>
      </c>
      <c r="C37" s="90">
        <f t="shared" ref="C37:H37" si="19">C35*$B$9</f>
        <v>39780</v>
      </c>
      <c r="D37" s="90">
        <f t="shared" si="19"/>
        <v>3060</v>
      </c>
      <c r="E37" s="90">
        <f t="shared" si="19"/>
        <v>3060</v>
      </c>
      <c r="F37" s="90">
        <f t="shared" si="19"/>
        <v>3060</v>
      </c>
      <c r="G37" s="90">
        <f t="shared" si="19"/>
        <v>3060</v>
      </c>
      <c r="H37" s="90">
        <f t="shared" si="19"/>
        <v>3060</v>
      </c>
      <c r="I37" s="90">
        <f>(I35+I36)*$B$9</f>
        <v>4590</v>
      </c>
      <c r="J37" s="90">
        <f>J35*$B$9</f>
        <v>3060</v>
      </c>
      <c r="K37" s="90">
        <f>K35*$B$9</f>
        <v>3060</v>
      </c>
      <c r="L37" s="90">
        <f>L35*$B$9</f>
        <v>3060</v>
      </c>
      <c r="M37" s="90">
        <f>M35*$B$9</f>
        <v>3060</v>
      </c>
      <c r="N37" s="90">
        <f>N35*$B$9</f>
        <v>3060</v>
      </c>
      <c r="O37" s="90">
        <f>(O35+O36)*$B$9</f>
        <v>4590</v>
      </c>
    </row>
    <row r="38" spans="1:15" x14ac:dyDescent="0.3">
      <c r="A38" s="85" t="s">
        <v>148</v>
      </c>
      <c r="B38" s="102">
        <v>0.06</v>
      </c>
      <c r="C38" s="90">
        <f t="shared" ref="C38:H38" si="20">C35*$B$10</f>
        <v>14040</v>
      </c>
      <c r="D38" s="90">
        <f t="shared" si="20"/>
        <v>1080</v>
      </c>
      <c r="E38" s="90">
        <f t="shared" si="20"/>
        <v>1080</v>
      </c>
      <c r="F38" s="90">
        <f t="shared" si="20"/>
        <v>1080</v>
      </c>
      <c r="G38" s="90">
        <f t="shared" si="20"/>
        <v>1080</v>
      </c>
      <c r="H38" s="90">
        <f t="shared" si="20"/>
        <v>1080</v>
      </c>
      <c r="I38" s="90">
        <f>(I35+I36)*$B$10</f>
        <v>1620</v>
      </c>
      <c r="J38" s="90">
        <f>J35*$B$10</f>
        <v>1080</v>
      </c>
      <c r="K38" s="90">
        <f>K35*$B$10</f>
        <v>1080</v>
      </c>
      <c r="L38" s="90">
        <f>L35*$B$10</f>
        <v>1080</v>
      </c>
      <c r="M38" s="90">
        <f>M35*$B$10</f>
        <v>1080</v>
      </c>
      <c r="N38" s="90">
        <f>N35*$B$10</f>
        <v>1080</v>
      </c>
      <c r="O38" s="90">
        <f>(O35+O36)*$B$10</f>
        <v>1620</v>
      </c>
    </row>
    <row r="39" spans="1:15" x14ac:dyDescent="0.3">
      <c r="C39" s="75" t="s">
        <v>151</v>
      </c>
      <c r="D39" s="106">
        <f>D35-D37-D38</f>
        <v>13860</v>
      </c>
      <c r="E39" s="106">
        <f t="shared" ref="E39:H39" si="21">E35-E37-E38</f>
        <v>13860</v>
      </c>
      <c r="F39" s="106">
        <f t="shared" si="21"/>
        <v>13860</v>
      </c>
      <c r="G39" s="106">
        <f t="shared" si="21"/>
        <v>13860</v>
      </c>
      <c r="H39" s="106">
        <f t="shared" si="21"/>
        <v>13860</v>
      </c>
      <c r="I39" s="106">
        <f>I35+I36-I37-I38</f>
        <v>20790</v>
      </c>
      <c r="J39" s="106">
        <f t="shared" ref="J39:N39" si="22">J35-J37-J38</f>
        <v>13860</v>
      </c>
      <c r="K39" s="106">
        <f t="shared" si="22"/>
        <v>13860</v>
      </c>
      <c r="L39" s="106">
        <f t="shared" si="22"/>
        <v>13860</v>
      </c>
      <c r="M39" s="106">
        <f t="shared" si="22"/>
        <v>13860</v>
      </c>
      <c r="N39" s="106">
        <f t="shared" si="22"/>
        <v>13860</v>
      </c>
      <c r="O39" s="106">
        <f>O35+O36-O37-O38</f>
        <v>20790</v>
      </c>
    </row>
    <row r="42" spans="1:15" x14ac:dyDescent="0.3">
      <c r="A42" s="153" t="s">
        <v>219</v>
      </c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</row>
    <row r="43" spans="1:15" x14ac:dyDescent="0.3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</row>
    <row r="44" spans="1:15" x14ac:dyDescent="0.3">
      <c r="A44" s="137" t="s">
        <v>154</v>
      </c>
      <c r="B44" s="137"/>
      <c r="C44" s="137"/>
      <c r="D44" s="209" t="s">
        <v>149</v>
      </c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1"/>
    </row>
    <row r="45" spans="1:15" x14ac:dyDescent="0.3">
      <c r="C45" s="74" t="s">
        <v>152</v>
      </c>
      <c r="D45" s="85">
        <v>1</v>
      </c>
      <c r="E45" s="85">
        <v>2</v>
      </c>
      <c r="F45" s="85">
        <v>3</v>
      </c>
      <c r="G45" s="85">
        <v>4</v>
      </c>
      <c r="H45" s="85">
        <v>5</v>
      </c>
      <c r="I45" s="85">
        <v>6</v>
      </c>
      <c r="J45" s="85">
        <v>7</v>
      </c>
      <c r="K45" s="85">
        <v>8</v>
      </c>
      <c r="L45" s="85">
        <v>9</v>
      </c>
      <c r="M45" s="85">
        <v>10</v>
      </c>
      <c r="N45" s="85">
        <v>11</v>
      </c>
      <c r="O45" s="85">
        <v>12</v>
      </c>
    </row>
    <row r="46" spans="1:15" x14ac:dyDescent="0.3">
      <c r="A46" s="85"/>
      <c r="B46" s="85" t="s">
        <v>150</v>
      </c>
      <c r="C46" s="105">
        <f>SUM(D46:O47)</f>
        <v>364000</v>
      </c>
      <c r="D46" s="90">
        <v>28000</v>
      </c>
      <c r="E46" s="90">
        <v>28000</v>
      </c>
      <c r="F46" s="90">
        <v>28000</v>
      </c>
      <c r="G46" s="90">
        <v>28000</v>
      </c>
      <c r="H46" s="90">
        <v>28000</v>
      </c>
      <c r="I46" s="90">
        <v>28000</v>
      </c>
      <c r="J46" s="90">
        <v>28000</v>
      </c>
      <c r="K46" s="90">
        <v>28000</v>
      </c>
      <c r="L46" s="90">
        <v>28000</v>
      </c>
      <c r="M46" s="90">
        <v>28000</v>
      </c>
      <c r="N46" s="90">
        <v>28000</v>
      </c>
      <c r="O46" s="90">
        <v>28000</v>
      </c>
    </row>
    <row r="47" spans="1:15" x14ac:dyDescent="0.3">
      <c r="A47" s="85" t="s">
        <v>146</v>
      </c>
      <c r="B47" s="85"/>
      <c r="C47" s="85"/>
      <c r="D47" s="85"/>
      <c r="E47" s="85"/>
      <c r="F47" s="85"/>
      <c r="G47" s="85"/>
      <c r="H47" s="85"/>
      <c r="I47" s="90">
        <f>I46/2</f>
        <v>14000</v>
      </c>
      <c r="J47" s="85"/>
      <c r="K47" s="85"/>
      <c r="L47" s="85"/>
      <c r="M47" s="85"/>
      <c r="N47" s="85"/>
      <c r="O47" s="90">
        <f>O46/2</f>
        <v>14000</v>
      </c>
    </row>
    <row r="48" spans="1:15" x14ac:dyDescent="0.3">
      <c r="A48" s="85" t="s">
        <v>147</v>
      </c>
      <c r="B48" s="102">
        <v>0.17</v>
      </c>
      <c r="C48" s="90">
        <f t="shared" ref="C48:H48" si="23">C46*$B$9</f>
        <v>61880.000000000007</v>
      </c>
      <c r="D48" s="90">
        <f t="shared" si="23"/>
        <v>4760</v>
      </c>
      <c r="E48" s="90">
        <f t="shared" si="23"/>
        <v>4760</v>
      </c>
      <c r="F48" s="90">
        <f t="shared" si="23"/>
        <v>4760</v>
      </c>
      <c r="G48" s="90">
        <f t="shared" si="23"/>
        <v>4760</v>
      </c>
      <c r="H48" s="90">
        <f t="shared" si="23"/>
        <v>4760</v>
      </c>
      <c r="I48" s="90">
        <f>(I46+I47)*$B$9</f>
        <v>7140.0000000000009</v>
      </c>
      <c r="J48" s="90">
        <f>J46*$B$9</f>
        <v>4760</v>
      </c>
      <c r="K48" s="90">
        <f>K46*$B$9</f>
        <v>4760</v>
      </c>
      <c r="L48" s="90">
        <f>L46*$B$9</f>
        <v>4760</v>
      </c>
      <c r="M48" s="90">
        <f>M46*$B$9</f>
        <v>4760</v>
      </c>
      <c r="N48" s="90">
        <f>N46*$B$9</f>
        <v>4760</v>
      </c>
      <c r="O48" s="90">
        <f>(O46+O47)*$B$9</f>
        <v>7140.0000000000009</v>
      </c>
    </row>
    <row r="49" spans="1:15" x14ac:dyDescent="0.3">
      <c r="A49" s="85" t="s">
        <v>148</v>
      </c>
      <c r="B49" s="102">
        <v>0.06</v>
      </c>
      <c r="C49" s="90">
        <f t="shared" ref="C49:H49" si="24">C46*$B$10</f>
        <v>21840</v>
      </c>
      <c r="D49" s="90">
        <f t="shared" si="24"/>
        <v>1680</v>
      </c>
      <c r="E49" s="90">
        <f t="shared" si="24"/>
        <v>1680</v>
      </c>
      <c r="F49" s="90">
        <f t="shared" si="24"/>
        <v>1680</v>
      </c>
      <c r="G49" s="90">
        <f t="shared" si="24"/>
        <v>1680</v>
      </c>
      <c r="H49" s="90">
        <f t="shared" si="24"/>
        <v>1680</v>
      </c>
      <c r="I49" s="90">
        <f>(I46+I47)*$B$10</f>
        <v>2520</v>
      </c>
      <c r="J49" s="90">
        <f>J46*$B$10</f>
        <v>1680</v>
      </c>
      <c r="K49" s="90">
        <f>K46*$B$10</f>
        <v>1680</v>
      </c>
      <c r="L49" s="90">
        <f>L46*$B$10</f>
        <v>1680</v>
      </c>
      <c r="M49" s="90">
        <f>M46*$B$10</f>
        <v>1680</v>
      </c>
      <c r="N49" s="90">
        <f>N46*$B$10</f>
        <v>1680</v>
      </c>
      <c r="O49" s="90">
        <f>(O46+O47)*$B$10</f>
        <v>2520</v>
      </c>
    </row>
    <row r="50" spans="1:15" x14ac:dyDescent="0.3">
      <c r="C50" s="75" t="s">
        <v>151</v>
      </c>
      <c r="D50" s="106">
        <f>D46-D48-D49</f>
        <v>21560</v>
      </c>
      <c r="E50" s="106">
        <f t="shared" ref="E50" si="25">E46-E48-E49</f>
        <v>21560</v>
      </c>
      <c r="F50" s="106">
        <f t="shared" ref="F50" si="26">F46-F48-F49</f>
        <v>21560</v>
      </c>
      <c r="G50" s="106">
        <f t="shared" ref="G50" si="27">G46-G48-G49</f>
        <v>21560</v>
      </c>
      <c r="H50" s="106">
        <f t="shared" ref="H50" si="28">H46-H48-H49</f>
        <v>21560</v>
      </c>
      <c r="I50" s="106">
        <f>I46+I47-I48-I49</f>
        <v>32340</v>
      </c>
      <c r="J50" s="106">
        <f t="shared" ref="J50:N50" si="29">J46-J48-J49</f>
        <v>21560</v>
      </c>
      <c r="K50" s="106">
        <f t="shared" si="29"/>
        <v>21560</v>
      </c>
      <c r="L50" s="106">
        <f t="shared" si="29"/>
        <v>21560</v>
      </c>
      <c r="M50" s="106">
        <f t="shared" si="29"/>
        <v>21560</v>
      </c>
      <c r="N50" s="106">
        <f t="shared" si="29"/>
        <v>21560</v>
      </c>
      <c r="O50" s="106">
        <f>O46+O47-O48-O49</f>
        <v>32340</v>
      </c>
    </row>
    <row r="54" spans="1:15" x14ac:dyDescent="0.3">
      <c r="A54" s="152" t="s">
        <v>155</v>
      </c>
      <c r="B54" s="137"/>
      <c r="C54" s="137"/>
      <c r="D54" s="205" t="s">
        <v>149</v>
      </c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</row>
    <row r="55" spans="1:15" x14ac:dyDescent="0.3">
      <c r="A55" s="137"/>
      <c r="B55" s="137"/>
      <c r="C55" s="137" t="s">
        <v>152</v>
      </c>
      <c r="D55" s="138">
        <v>1</v>
      </c>
      <c r="E55" s="138">
        <v>2</v>
      </c>
      <c r="F55" s="138">
        <v>3</v>
      </c>
      <c r="G55" s="138">
        <v>4</v>
      </c>
      <c r="H55" s="138">
        <v>5</v>
      </c>
      <c r="I55" s="138">
        <v>6</v>
      </c>
      <c r="J55" s="138">
        <v>7</v>
      </c>
      <c r="K55" s="138">
        <v>8</v>
      </c>
      <c r="L55" s="138">
        <v>9</v>
      </c>
      <c r="M55" s="138">
        <v>10</v>
      </c>
      <c r="N55" s="138">
        <v>11</v>
      </c>
      <c r="O55" s="138">
        <v>12</v>
      </c>
    </row>
    <row r="56" spans="1:15" x14ac:dyDescent="0.3">
      <c r="A56" s="85"/>
      <c r="B56" s="85" t="s">
        <v>150</v>
      </c>
      <c r="C56" s="105">
        <f>SUM(D56:O57)</f>
        <v>390000</v>
      </c>
      <c r="D56" s="90">
        <v>30000</v>
      </c>
      <c r="E56" s="90">
        <v>30000</v>
      </c>
      <c r="F56" s="90">
        <v>30000</v>
      </c>
      <c r="G56" s="90">
        <v>30000</v>
      </c>
      <c r="H56" s="90">
        <v>30000</v>
      </c>
      <c r="I56" s="90">
        <v>30000</v>
      </c>
      <c r="J56" s="90">
        <v>30000</v>
      </c>
      <c r="K56" s="90">
        <v>30000</v>
      </c>
      <c r="L56" s="90">
        <v>30000</v>
      </c>
      <c r="M56" s="90">
        <v>30000</v>
      </c>
      <c r="N56" s="90">
        <v>30000</v>
      </c>
      <c r="O56" s="90">
        <v>30000</v>
      </c>
    </row>
    <row r="57" spans="1:15" x14ac:dyDescent="0.3">
      <c r="A57" s="85" t="s">
        <v>146</v>
      </c>
      <c r="B57" s="85"/>
      <c r="C57" s="85"/>
      <c r="D57" s="85"/>
      <c r="E57" s="85"/>
      <c r="F57" s="85"/>
      <c r="G57" s="85"/>
      <c r="H57" s="85"/>
      <c r="I57" s="90">
        <f>I56/2</f>
        <v>15000</v>
      </c>
      <c r="J57" s="85"/>
      <c r="K57" s="85"/>
      <c r="L57" s="85"/>
      <c r="M57" s="85"/>
      <c r="N57" s="85"/>
      <c r="O57" s="90">
        <f>O56/2</f>
        <v>15000</v>
      </c>
    </row>
    <row r="58" spans="1:15" x14ac:dyDescent="0.3">
      <c r="A58" s="85" t="s">
        <v>147</v>
      </c>
      <c r="B58" s="102">
        <v>0.17</v>
      </c>
      <c r="C58" s="90">
        <f t="shared" ref="C58:H58" si="30">C56*$B$9</f>
        <v>66300</v>
      </c>
      <c r="D58" s="90">
        <f t="shared" si="30"/>
        <v>5100</v>
      </c>
      <c r="E58" s="90">
        <f t="shared" si="30"/>
        <v>5100</v>
      </c>
      <c r="F58" s="90">
        <f t="shared" si="30"/>
        <v>5100</v>
      </c>
      <c r="G58" s="90">
        <f t="shared" si="30"/>
        <v>5100</v>
      </c>
      <c r="H58" s="90">
        <f t="shared" si="30"/>
        <v>5100</v>
      </c>
      <c r="I58" s="90">
        <f>(I56+I57)*$B$9</f>
        <v>7650.0000000000009</v>
      </c>
      <c r="J58" s="90">
        <f>J56*$B$9</f>
        <v>5100</v>
      </c>
      <c r="K58" s="90">
        <f>K56*$B$9</f>
        <v>5100</v>
      </c>
      <c r="L58" s="90">
        <f>L56*$B$9</f>
        <v>5100</v>
      </c>
      <c r="M58" s="90">
        <f>M56*$B$9</f>
        <v>5100</v>
      </c>
      <c r="N58" s="90">
        <f>N56*$B$9</f>
        <v>5100</v>
      </c>
      <c r="O58" s="90">
        <f>(O56+O57)*$B$9</f>
        <v>7650.0000000000009</v>
      </c>
    </row>
    <row r="59" spans="1:15" x14ac:dyDescent="0.3">
      <c r="A59" s="85" t="s">
        <v>148</v>
      </c>
      <c r="B59" s="102">
        <v>0.06</v>
      </c>
      <c r="C59" s="90">
        <f t="shared" ref="C59:H59" si="31">C56*$B$10</f>
        <v>23400</v>
      </c>
      <c r="D59" s="90">
        <f t="shared" si="31"/>
        <v>1800</v>
      </c>
      <c r="E59" s="90">
        <f t="shared" si="31"/>
        <v>1800</v>
      </c>
      <c r="F59" s="90">
        <f t="shared" si="31"/>
        <v>1800</v>
      </c>
      <c r="G59" s="90">
        <f t="shared" si="31"/>
        <v>1800</v>
      </c>
      <c r="H59" s="90">
        <f t="shared" si="31"/>
        <v>1800</v>
      </c>
      <c r="I59" s="90">
        <f>(I56+I57)*$B$10</f>
        <v>2700</v>
      </c>
      <c r="J59" s="90">
        <f>J56*$B$10</f>
        <v>1800</v>
      </c>
      <c r="K59" s="90">
        <f>K56*$B$10</f>
        <v>1800</v>
      </c>
      <c r="L59" s="90">
        <f>L56*$B$10</f>
        <v>1800</v>
      </c>
      <c r="M59" s="90">
        <f>M56*$B$10</f>
        <v>1800</v>
      </c>
      <c r="N59" s="90">
        <f>N56*$B$10</f>
        <v>1800</v>
      </c>
      <c r="O59" s="90">
        <f>(O56+O57)*$B$10</f>
        <v>2700</v>
      </c>
    </row>
    <row r="60" spans="1:15" x14ac:dyDescent="0.3">
      <c r="C60" s="75" t="s">
        <v>151</v>
      </c>
      <c r="D60" s="106">
        <f>D56-D58-D59</f>
        <v>23100</v>
      </c>
      <c r="E60" s="106">
        <f t="shared" ref="E60" si="32">E56-E58-E59</f>
        <v>23100</v>
      </c>
      <c r="F60" s="106">
        <f t="shared" ref="F60" si="33">F56-F58-F59</f>
        <v>23100</v>
      </c>
      <c r="G60" s="106">
        <f t="shared" ref="G60" si="34">G56-G58-G59</f>
        <v>23100</v>
      </c>
      <c r="H60" s="106">
        <f t="shared" ref="H60" si="35">H56-H58-H59</f>
        <v>23100</v>
      </c>
      <c r="I60" s="106">
        <f>I56+I57-I58-I59</f>
        <v>34650</v>
      </c>
      <c r="J60" s="106">
        <f t="shared" ref="J60:N60" si="36">J56-J58-J59</f>
        <v>23100</v>
      </c>
      <c r="K60" s="106">
        <f t="shared" si="36"/>
        <v>23100</v>
      </c>
      <c r="L60" s="106">
        <f t="shared" si="36"/>
        <v>23100</v>
      </c>
      <c r="M60" s="106">
        <f t="shared" si="36"/>
        <v>23100</v>
      </c>
      <c r="N60" s="106">
        <f t="shared" si="36"/>
        <v>23100</v>
      </c>
      <c r="O60" s="106">
        <f>O56+O57-O58-O59</f>
        <v>34650</v>
      </c>
    </row>
    <row r="64" spans="1:15" s="137" customFormat="1" x14ac:dyDescent="0.3">
      <c r="A64" s="152" t="s">
        <v>156</v>
      </c>
      <c r="D64" s="205" t="s">
        <v>149</v>
      </c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</row>
    <row r="65" spans="1:15" s="137" customFormat="1" x14ac:dyDescent="0.3">
      <c r="C65" s="137" t="s">
        <v>152</v>
      </c>
      <c r="D65" s="138">
        <v>1</v>
      </c>
      <c r="E65" s="138">
        <v>2</v>
      </c>
      <c r="F65" s="138">
        <v>3</v>
      </c>
      <c r="G65" s="138">
        <v>4</v>
      </c>
      <c r="H65" s="138">
        <v>5</v>
      </c>
      <c r="I65" s="138">
        <v>6</v>
      </c>
      <c r="J65" s="138">
        <v>7</v>
      </c>
      <c r="K65" s="138">
        <v>8</v>
      </c>
      <c r="L65" s="138">
        <v>9</v>
      </c>
      <c r="M65" s="138">
        <v>10</v>
      </c>
      <c r="N65" s="138">
        <v>11</v>
      </c>
      <c r="O65" s="138">
        <v>12</v>
      </c>
    </row>
    <row r="66" spans="1:15" x14ac:dyDescent="0.3">
      <c r="A66" s="85"/>
      <c r="B66" s="85" t="s">
        <v>150</v>
      </c>
      <c r="C66" s="105">
        <f>SUM(D66:O67)</f>
        <v>377000</v>
      </c>
      <c r="D66" s="90">
        <v>29000</v>
      </c>
      <c r="E66" s="90">
        <v>29000</v>
      </c>
      <c r="F66" s="90">
        <v>29000</v>
      </c>
      <c r="G66" s="90">
        <v>29000</v>
      </c>
      <c r="H66" s="90">
        <v>29000</v>
      </c>
      <c r="I66" s="90">
        <v>29000</v>
      </c>
      <c r="J66" s="90">
        <v>29000</v>
      </c>
      <c r="K66" s="90">
        <v>29000</v>
      </c>
      <c r="L66" s="90">
        <v>29000</v>
      </c>
      <c r="M66" s="90">
        <v>29000</v>
      </c>
      <c r="N66" s="90">
        <v>29000</v>
      </c>
      <c r="O66" s="90">
        <v>29000</v>
      </c>
    </row>
    <row r="67" spans="1:15" x14ac:dyDescent="0.3">
      <c r="A67" s="85" t="s">
        <v>146</v>
      </c>
      <c r="B67" s="85"/>
      <c r="C67" s="85"/>
      <c r="D67" s="85"/>
      <c r="E67" s="85"/>
      <c r="F67" s="85"/>
      <c r="G67" s="85"/>
      <c r="H67" s="85"/>
      <c r="I67" s="90">
        <f>I66/2</f>
        <v>14500</v>
      </c>
      <c r="J67" s="85"/>
      <c r="K67" s="85"/>
      <c r="L67" s="85"/>
      <c r="M67" s="85"/>
      <c r="N67" s="85"/>
      <c r="O67" s="90">
        <f>O66/2</f>
        <v>14500</v>
      </c>
    </row>
    <row r="68" spans="1:15" x14ac:dyDescent="0.3">
      <c r="A68" s="85" t="s">
        <v>147</v>
      </c>
      <c r="B68" s="102">
        <v>0.17</v>
      </c>
      <c r="C68" s="90">
        <f t="shared" ref="C68:H68" si="37">C66*$B$9</f>
        <v>64090.000000000007</v>
      </c>
      <c r="D68" s="90">
        <f t="shared" si="37"/>
        <v>4930</v>
      </c>
      <c r="E68" s="90">
        <f t="shared" si="37"/>
        <v>4930</v>
      </c>
      <c r="F68" s="90">
        <f t="shared" si="37"/>
        <v>4930</v>
      </c>
      <c r="G68" s="90">
        <f t="shared" si="37"/>
        <v>4930</v>
      </c>
      <c r="H68" s="90">
        <f t="shared" si="37"/>
        <v>4930</v>
      </c>
      <c r="I68" s="90">
        <f>(I66+I67)*$B$9</f>
        <v>7395.0000000000009</v>
      </c>
      <c r="J68" s="90">
        <f>J66*$B$9</f>
        <v>4930</v>
      </c>
      <c r="K68" s="90">
        <f>K66*$B$9</f>
        <v>4930</v>
      </c>
      <c r="L68" s="90">
        <f>L66*$B$9</f>
        <v>4930</v>
      </c>
      <c r="M68" s="90">
        <f>M66*$B$9</f>
        <v>4930</v>
      </c>
      <c r="N68" s="90">
        <f>N66*$B$9</f>
        <v>4930</v>
      </c>
      <c r="O68" s="90">
        <f>(O66+O67)*$B$9</f>
        <v>7395.0000000000009</v>
      </c>
    </row>
    <row r="69" spans="1:15" x14ac:dyDescent="0.3">
      <c r="A69" s="85" t="s">
        <v>148</v>
      </c>
      <c r="B69" s="102">
        <v>0.06</v>
      </c>
      <c r="C69" s="90">
        <f t="shared" ref="C69:H69" si="38">C66*$B$10</f>
        <v>22620</v>
      </c>
      <c r="D69" s="90">
        <f t="shared" si="38"/>
        <v>1740</v>
      </c>
      <c r="E69" s="90">
        <f t="shared" si="38"/>
        <v>1740</v>
      </c>
      <c r="F69" s="90">
        <f t="shared" si="38"/>
        <v>1740</v>
      </c>
      <c r="G69" s="90">
        <f t="shared" si="38"/>
        <v>1740</v>
      </c>
      <c r="H69" s="90">
        <f t="shared" si="38"/>
        <v>1740</v>
      </c>
      <c r="I69" s="90">
        <f>(I66+I67)*$B$10</f>
        <v>2610</v>
      </c>
      <c r="J69" s="90">
        <f>J66*$B$10</f>
        <v>1740</v>
      </c>
      <c r="K69" s="90">
        <f>K66*$B$10</f>
        <v>1740</v>
      </c>
      <c r="L69" s="90">
        <f>L66*$B$10</f>
        <v>1740</v>
      </c>
      <c r="M69" s="90">
        <f>M66*$B$10</f>
        <v>1740</v>
      </c>
      <c r="N69" s="90">
        <f>N66*$B$10</f>
        <v>1740</v>
      </c>
      <c r="O69" s="90">
        <f>(O66+O67)*$B$10</f>
        <v>2610</v>
      </c>
    </row>
    <row r="70" spans="1:15" x14ac:dyDescent="0.3">
      <c r="C70" s="75" t="s">
        <v>151</v>
      </c>
      <c r="D70" s="106">
        <f>D66-D68-D69</f>
        <v>22330</v>
      </c>
      <c r="E70" s="106">
        <f t="shared" ref="E70" si="39">E66-E68-E69</f>
        <v>22330</v>
      </c>
      <c r="F70" s="106">
        <f t="shared" ref="F70" si="40">F66-F68-F69</f>
        <v>22330</v>
      </c>
      <c r="G70" s="106">
        <f t="shared" ref="G70" si="41">G66-G68-G69</f>
        <v>22330</v>
      </c>
      <c r="H70" s="106">
        <f t="shared" ref="H70" si="42">H66-H68-H69</f>
        <v>22330</v>
      </c>
      <c r="I70" s="106">
        <f>I66+I67-I68-I69</f>
        <v>33495</v>
      </c>
      <c r="J70" s="106">
        <f t="shared" ref="J70:N70" si="43">J66-J68-J69</f>
        <v>22330</v>
      </c>
      <c r="K70" s="106">
        <f t="shared" si="43"/>
        <v>22330</v>
      </c>
      <c r="L70" s="106">
        <f t="shared" si="43"/>
        <v>22330</v>
      </c>
      <c r="M70" s="106">
        <f t="shared" si="43"/>
        <v>22330</v>
      </c>
      <c r="N70" s="106">
        <f t="shared" si="43"/>
        <v>22330</v>
      </c>
      <c r="O70" s="106">
        <f>O66+O67-O68-O69</f>
        <v>33495</v>
      </c>
    </row>
    <row r="73" spans="1:15" x14ac:dyDescent="0.3">
      <c r="A73" s="153" t="s">
        <v>220</v>
      </c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</row>
    <row r="76" spans="1:15" x14ac:dyDescent="0.3">
      <c r="A76" s="137" t="s">
        <v>157</v>
      </c>
      <c r="B76" s="137"/>
      <c r="C76" s="137"/>
      <c r="D76" s="205" t="s">
        <v>149</v>
      </c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</row>
    <row r="77" spans="1:15" x14ac:dyDescent="0.3">
      <c r="A77" s="137"/>
      <c r="B77" s="137"/>
      <c r="C77" s="137" t="s">
        <v>152</v>
      </c>
      <c r="D77" s="138">
        <v>1</v>
      </c>
      <c r="E77" s="138">
        <v>2</v>
      </c>
      <c r="F77" s="138">
        <v>3</v>
      </c>
      <c r="G77" s="138">
        <v>4</v>
      </c>
      <c r="H77" s="138">
        <v>5</v>
      </c>
      <c r="I77" s="138">
        <v>6</v>
      </c>
      <c r="J77" s="138">
        <v>7</v>
      </c>
      <c r="K77" s="138">
        <v>8</v>
      </c>
      <c r="L77" s="138">
        <v>9</v>
      </c>
      <c r="M77" s="138">
        <v>10</v>
      </c>
      <c r="N77" s="138">
        <v>11</v>
      </c>
      <c r="O77" s="138">
        <v>12</v>
      </c>
    </row>
    <row r="78" spans="1:15" x14ac:dyDescent="0.3">
      <c r="A78" s="85"/>
      <c r="B78" s="85" t="s">
        <v>150</v>
      </c>
      <c r="C78" s="105">
        <f>SUM(D78:O79)</f>
        <v>416000</v>
      </c>
      <c r="D78" s="90">
        <v>32000</v>
      </c>
      <c r="E78" s="90">
        <v>32000</v>
      </c>
      <c r="F78" s="90">
        <v>32000</v>
      </c>
      <c r="G78" s="90">
        <v>32000</v>
      </c>
      <c r="H78" s="90">
        <v>32000</v>
      </c>
      <c r="I78" s="90">
        <v>32000</v>
      </c>
      <c r="J78" s="90">
        <v>32000</v>
      </c>
      <c r="K78" s="90">
        <v>32000</v>
      </c>
      <c r="L78" s="90">
        <v>32000</v>
      </c>
      <c r="M78" s="90">
        <v>32000</v>
      </c>
      <c r="N78" s="90">
        <v>32000</v>
      </c>
      <c r="O78" s="90">
        <v>32000</v>
      </c>
    </row>
    <row r="79" spans="1:15" x14ac:dyDescent="0.3">
      <c r="A79" s="85" t="s">
        <v>146</v>
      </c>
      <c r="B79" s="85"/>
      <c r="C79" s="85"/>
      <c r="D79" s="85"/>
      <c r="E79" s="85"/>
      <c r="F79" s="85"/>
      <c r="G79" s="85"/>
      <c r="H79" s="85"/>
      <c r="I79" s="90">
        <f>I78/2</f>
        <v>16000</v>
      </c>
      <c r="J79" s="85"/>
      <c r="K79" s="85"/>
      <c r="L79" s="85"/>
      <c r="M79" s="85"/>
      <c r="N79" s="85"/>
      <c r="O79" s="90">
        <f>O78/2</f>
        <v>16000</v>
      </c>
    </row>
    <row r="80" spans="1:15" x14ac:dyDescent="0.3">
      <c r="A80" s="85" t="s">
        <v>147</v>
      </c>
      <c r="B80" s="102">
        <v>0.17</v>
      </c>
      <c r="C80" s="90">
        <f t="shared" ref="C80:H80" si="44">C78*$B$9</f>
        <v>70720</v>
      </c>
      <c r="D80" s="90">
        <f t="shared" si="44"/>
        <v>5440</v>
      </c>
      <c r="E80" s="90">
        <f t="shared" si="44"/>
        <v>5440</v>
      </c>
      <c r="F80" s="90">
        <f t="shared" si="44"/>
        <v>5440</v>
      </c>
      <c r="G80" s="90">
        <f t="shared" si="44"/>
        <v>5440</v>
      </c>
      <c r="H80" s="90">
        <f t="shared" si="44"/>
        <v>5440</v>
      </c>
      <c r="I80" s="90">
        <f>(I78+I79)*$B$9</f>
        <v>8160.0000000000009</v>
      </c>
      <c r="J80" s="90">
        <f>J78*$B$9</f>
        <v>5440</v>
      </c>
      <c r="K80" s="90">
        <f>K78*$B$9</f>
        <v>5440</v>
      </c>
      <c r="L80" s="90">
        <f>L78*$B$9</f>
        <v>5440</v>
      </c>
      <c r="M80" s="90">
        <f>M78*$B$9</f>
        <v>5440</v>
      </c>
      <c r="N80" s="90">
        <f>N78*$B$9</f>
        <v>5440</v>
      </c>
      <c r="O80" s="90">
        <f>(O78+O79)*$B$9</f>
        <v>8160.0000000000009</v>
      </c>
    </row>
    <row r="81" spans="1:15" x14ac:dyDescent="0.3">
      <c r="A81" s="85" t="s">
        <v>148</v>
      </c>
      <c r="B81" s="102">
        <v>0.06</v>
      </c>
      <c r="C81" s="90">
        <f t="shared" ref="C81:H81" si="45">C78*$B$10</f>
        <v>24960</v>
      </c>
      <c r="D81" s="90">
        <f t="shared" si="45"/>
        <v>1920</v>
      </c>
      <c r="E81" s="90">
        <f t="shared" si="45"/>
        <v>1920</v>
      </c>
      <c r="F81" s="90">
        <f t="shared" si="45"/>
        <v>1920</v>
      </c>
      <c r="G81" s="90">
        <f t="shared" si="45"/>
        <v>1920</v>
      </c>
      <c r="H81" s="90">
        <f t="shared" si="45"/>
        <v>1920</v>
      </c>
      <c r="I81" s="90">
        <f>(I78+I79)*$B$10</f>
        <v>2880</v>
      </c>
      <c r="J81" s="90">
        <f>J78*$B$10</f>
        <v>1920</v>
      </c>
      <c r="K81" s="90">
        <f>K78*$B$10</f>
        <v>1920</v>
      </c>
      <c r="L81" s="90">
        <f>L78*$B$10</f>
        <v>1920</v>
      </c>
      <c r="M81" s="90">
        <f>M78*$B$10</f>
        <v>1920</v>
      </c>
      <c r="N81" s="90">
        <f>N78*$B$10</f>
        <v>1920</v>
      </c>
      <c r="O81" s="90">
        <f>(O78+O79)*$B$10</f>
        <v>2880</v>
      </c>
    </row>
    <row r="82" spans="1:15" x14ac:dyDescent="0.3">
      <c r="C82" s="75" t="s">
        <v>151</v>
      </c>
      <c r="D82" s="106">
        <f>D78-D80-D81</f>
        <v>24640</v>
      </c>
      <c r="E82" s="106">
        <f t="shared" ref="E82" si="46">E78-E80-E81</f>
        <v>24640</v>
      </c>
      <c r="F82" s="106">
        <f t="shared" ref="F82" si="47">F78-F80-F81</f>
        <v>24640</v>
      </c>
      <c r="G82" s="106">
        <f t="shared" ref="G82" si="48">G78-G80-G81</f>
        <v>24640</v>
      </c>
      <c r="H82" s="106">
        <f t="shared" ref="H82" si="49">H78-H80-H81</f>
        <v>24640</v>
      </c>
      <c r="I82" s="106">
        <f>I78+I79-I80-I81</f>
        <v>36960</v>
      </c>
      <c r="J82" s="106">
        <f t="shared" ref="J82:N82" si="50">J78-J80-J81</f>
        <v>24640</v>
      </c>
      <c r="K82" s="106">
        <f t="shared" si="50"/>
        <v>24640</v>
      </c>
      <c r="L82" s="106">
        <f t="shared" si="50"/>
        <v>24640</v>
      </c>
      <c r="M82" s="106">
        <f t="shared" si="50"/>
        <v>24640</v>
      </c>
      <c r="N82" s="106">
        <f t="shared" si="50"/>
        <v>24640</v>
      </c>
      <c r="O82" s="106">
        <f>O78+O79-O80-O81</f>
        <v>36960</v>
      </c>
    </row>
    <row r="86" spans="1:15" x14ac:dyDescent="0.3">
      <c r="A86" s="152" t="s">
        <v>158</v>
      </c>
      <c r="B86" s="137"/>
      <c r="C86" s="137"/>
      <c r="D86" s="205" t="s">
        <v>149</v>
      </c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</row>
    <row r="87" spans="1:15" x14ac:dyDescent="0.3">
      <c r="A87" s="137"/>
      <c r="B87" s="137"/>
      <c r="C87" s="137" t="s">
        <v>152</v>
      </c>
      <c r="D87" s="138">
        <v>1</v>
      </c>
      <c r="E87" s="138">
        <v>2</v>
      </c>
      <c r="F87" s="138">
        <v>3</v>
      </c>
      <c r="G87" s="138">
        <v>4</v>
      </c>
      <c r="H87" s="138">
        <v>5</v>
      </c>
      <c r="I87" s="138">
        <v>6</v>
      </c>
      <c r="J87" s="138">
        <v>7</v>
      </c>
      <c r="K87" s="138">
        <v>8</v>
      </c>
      <c r="L87" s="138">
        <v>9</v>
      </c>
      <c r="M87" s="138">
        <v>10</v>
      </c>
      <c r="N87" s="138">
        <v>11</v>
      </c>
      <c r="O87" s="138">
        <v>12</v>
      </c>
    </row>
    <row r="88" spans="1:15" x14ac:dyDescent="0.3">
      <c r="A88" s="85"/>
      <c r="B88" s="85" t="s">
        <v>150</v>
      </c>
      <c r="C88" s="105">
        <f>SUM(D88:O89)</f>
        <v>403000</v>
      </c>
      <c r="D88" s="90">
        <v>31000</v>
      </c>
      <c r="E88" s="90">
        <v>31000</v>
      </c>
      <c r="F88" s="90">
        <v>31000</v>
      </c>
      <c r="G88" s="90">
        <v>31000</v>
      </c>
      <c r="H88" s="90">
        <v>31000</v>
      </c>
      <c r="I88" s="90">
        <v>31000</v>
      </c>
      <c r="J88" s="90">
        <v>31000</v>
      </c>
      <c r="K88" s="90">
        <v>31000</v>
      </c>
      <c r="L88" s="90">
        <v>31000</v>
      </c>
      <c r="M88" s="90">
        <v>31000</v>
      </c>
      <c r="N88" s="90">
        <v>31000</v>
      </c>
      <c r="O88" s="90">
        <v>31000</v>
      </c>
    </row>
    <row r="89" spans="1:15" x14ac:dyDescent="0.3">
      <c r="A89" s="85" t="s">
        <v>146</v>
      </c>
      <c r="B89" s="85"/>
      <c r="C89" s="85"/>
      <c r="D89" s="85"/>
      <c r="E89" s="85"/>
      <c r="F89" s="85"/>
      <c r="G89" s="85"/>
      <c r="H89" s="85"/>
      <c r="I89" s="90">
        <f>I88/2</f>
        <v>15500</v>
      </c>
      <c r="J89" s="85"/>
      <c r="K89" s="85"/>
      <c r="L89" s="85"/>
      <c r="M89" s="85"/>
      <c r="N89" s="85"/>
      <c r="O89" s="90">
        <f>O88/2</f>
        <v>15500</v>
      </c>
    </row>
    <row r="90" spans="1:15" x14ac:dyDescent="0.3">
      <c r="A90" s="85" t="s">
        <v>147</v>
      </c>
      <c r="B90" s="102">
        <v>0.17</v>
      </c>
      <c r="C90" s="90">
        <f t="shared" ref="C90:H90" si="51">C88*$B$9</f>
        <v>68510</v>
      </c>
      <c r="D90" s="90">
        <f t="shared" si="51"/>
        <v>5270</v>
      </c>
      <c r="E90" s="90">
        <f t="shared" si="51"/>
        <v>5270</v>
      </c>
      <c r="F90" s="90">
        <f t="shared" si="51"/>
        <v>5270</v>
      </c>
      <c r="G90" s="90">
        <f t="shared" si="51"/>
        <v>5270</v>
      </c>
      <c r="H90" s="90">
        <f t="shared" si="51"/>
        <v>5270</v>
      </c>
      <c r="I90" s="90">
        <f>(I88+I89)*$B$9</f>
        <v>7905.0000000000009</v>
      </c>
      <c r="J90" s="90">
        <f>J88*$B$9</f>
        <v>5270</v>
      </c>
      <c r="K90" s="90">
        <f>K88*$B$9</f>
        <v>5270</v>
      </c>
      <c r="L90" s="90">
        <f>L88*$B$9</f>
        <v>5270</v>
      </c>
      <c r="M90" s="90">
        <f>M88*$B$9</f>
        <v>5270</v>
      </c>
      <c r="N90" s="90">
        <f>N88*$B$9</f>
        <v>5270</v>
      </c>
      <c r="O90" s="90">
        <f>(O88+O89)*$B$9</f>
        <v>7905.0000000000009</v>
      </c>
    </row>
    <row r="91" spans="1:15" x14ac:dyDescent="0.3">
      <c r="A91" s="85" t="s">
        <v>148</v>
      </c>
      <c r="B91" s="102">
        <v>0.06</v>
      </c>
      <c r="C91" s="90">
        <f t="shared" ref="C91:H91" si="52">C88*$B$10</f>
        <v>24180</v>
      </c>
      <c r="D91" s="90">
        <f t="shared" si="52"/>
        <v>1860</v>
      </c>
      <c r="E91" s="90">
        <f t="shared" si="52"/>
        <v>1860</v>
      </c>
      <c r="F91" s="90">
        <f t="shared" si="52"/>
        <v>1860</v>
      </c>
      <c r="G91" s="90">
        <f t="shared" si="52"/>
        <v>1860</v>
      </c>
      <c r="H91" s="90">
        <f t="shared" si="52"/>
        <v>1860</v>
      </c>
      <c r="I91" s="90">
        <f>(I88+I89)*$B$10</f>
        <v>2790</v>
      </c>
      <c r="J91" s="90">
        <f>J88*$B$10</f>
        <v>1860</v>
      </c>
      <c r="K91" s="90">
        <f>K88*$B$10</f>
        <v>1860</v>
      </c>
      <c r="L91" s="90">
        <f>L88*$B$10</f>
        <v>1860</v>
      </c>
      <c r="M91" s="90">
        <f>M88*$B$10</f>
        <v>1860</v>
      </c>
      <c r="N91" s="90">
        <f>N88*$B$10</f>
        <v>1860</v>
      </c>
      <c r="O91" s="90">
        <f>(O88+O89)*$B$10</f>
        <v>2790</v>
      </c>
    </row>
    <row r="92" spans="1:15" x14ac:dyDescent="0.3">
      <c r="C92" s="75" t="s">
        <v>151</v>
      </c>
      <c r="D92" s="106">
        <f>D88-D90-D91</f>
        <v>23870</v>
      </c>
      <c r="E92" s="106">
        <f t="shared" ref="E92" si="53">E88-E90-E91</f>
        <v>23870</v>
      </c>
      <c r="F92" s="106">
        <f t="shared" ref="F92" si="54">F88-F90-F91</f>
        <v>23870</v>
      </c>
      <c r="G92" s="106">
        <f t="shared" ref="G92" si="55">G88-G90-G91</f>
        <v>23870</v>
      </c>
      <c r="H92" s="106">
        <f t="shared" ref="H92" si="56">H88-H90-H91</f>
        <v>23870</v>
      </c>
      <c r="I92" s="106">
        <f>I88+I89-I90-I91</f>
        <v>35805</v>
      </c>
      <c r="J92" s="106">
        <f t="shared" ref="J92:N92" si="57">J88-J90-J91</f>
        <v>23870</v>
      </c>
      <c r="K92" s="106">
        <f t="shared" si="57"/>
        <v>23870</v>
      </c>
      <c r="L92" s="106">
        <f t="shared" si="57"/>
        <v>23870</v>
      </c>
      <c r="M92" s="106">
        <f t="shared" si="57"/>
        <v>23870</v>
      </c>
      <c r="N92" s="106">
        <f t="shared" si="57"/>
        <v>23870</v>
      </c>
      <c r="O92" s="106">
        <f>O88+O89-O90-O91</f>
        <v>35805</v>
      </c>
    </row>
    <row r="98" spans="3:6" x14ac:dyDescent="0.3">
      <c r="C98" s="138"/>
      <c r="D98" s="151" t="s">
        <v>35</v>
      </c>
      <c r="E98" s="151" t="s">
        <v>36</v>
      </c>
      <c r="F98" s="151" t="s">
        <v>37</v>
      </c>
    </row>
    <row r="99" spans="3:6" x14ac:dyDescent="0.3">
      <c r="C99" s="206" t="s">
        <v>153</v>
      </c>
      <c r="D99" s="90">
        <f>+C26+C17+C7</f>
        <v>1560000</v>
      </c>
      <c r="E99" s="90">
        <f>+D99+C46+C56+C66</f>
        <v>2691000</v>
      </c>
      <c r="F99" s="90">
        <f>+E99+C78+C88</f>
        <v>3510000</v>
      </c>
    </row>
    <row r="100" spans="3:6" x14ac:dyDescent="0.3">
      <c r="C100" s="207"/>
      <c r="D100" s="85"/>
      <c r="E100" s="85"/>
      <c r="F100" s="85"/>
    </row>
    <row r="101" spans="3:6" x14ac:dyDescent="0.3">
      <c r="C101" s="207"/>
      <c r="D101" s="85" t="s">
        <v>4</v>
      </c>
      <c r="E101" s="85" t="s">
        <v>4</v>
      </c>
      <c r="F101" s="85" t="s">
        <v>4</v>
      </c>
    </row>
    <row r="102" spans="3:6" x14ac:dyDescent="0.3">
      <c r="C102" s="208"/>
      <c r="D102" s="90">
        <f>D99/12</f>
        <v>130000</v>
      </c>
      <c r="E102" s="90">
        <f>E99/12</f>
        <v>224250</v>
      </c>
      <c r="F102" s="90">
        <f>F99/12</f>
        <v>292500</v>
      </c>
    </row>
  </sheetData>
  <mergeCells count="10">
    <mergeCell ref="D76:O76"/>
    <mergeCell ref="D86:O86"/>
    <mergeCell ref="C99:C102"/>
    <mergeCell ref="D5:O5"/>
    <mergeCell ref="D15:O15"/>
    <mergeCell ref="D24:O24"/>
    <mergeCell ref="D44:O44"/>
    <mergeCell ref="D54:O54"/>
    <mergeCell ref="D64:O64"/>
    <mergeCell ref="D33:O3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B1" workbookViewId="0">
      <selection activeCell="C20" sqref="C20"/>
    </sheetView>
  </sheetViews>
  <sheetFormatPr defaultRowHeight="15" x14ac:dyDescent="0.25"/>
  <cols>
    <col min="1" max="1" width="25.28515625" customWidth="1"/>
    <col min="2" max="2" width="34.28515625" customWidth="1"/>
    <col min="3" max="3" width="23.140625" customWidth="1"/>
    <col min="4" max="4" width="13.7109375" bestFit="1" customWidth="1"/>
    <col min="9" max="9" width="12.28515625" bestFit="1" customWidth="1"/>
    <col min="11" max="11" width="8.140625" bestFit="1" customWidth="1"/>
    <col min="12" max="12" width="6.5703125" bestFit="1" customWidth="1"/>
    <col min="13" max="13" width="7" customWidth="1"/>
  </cols>
  <sheetData>
    <row r="1" spans="1:13" x14ac:dyDescent="0.25">
      <c r="A1" s="166" t="s">
        <v>176</v>
      </c>
      <c r="B1" s="166"/>
      <c r="C1" s="166"/>
      <c r="D1" s="166"/>
      <c r="E1" s="166"/>
      <c r="F1" s="166"/>
    </row>
    <row r="2" spans="1:13" x14ac:dyDescent="0.25">
      <c r="A2" s="166" t="s">
        <v>177</v>
      </c>
      <c r="B2" s="166" t="s">
        <v>178</v>
      </c>
      <c r="C2" s="166" t="s">
        <v>179</v>
      </c>
      <c r="D2" s="166" t="s">
        <v>180</v>
      </c>
      <c r="E2" s="166" t="s">
        <v>181</v>
      </c>
      <c r="F2" s="166" t="s">
        <v>182</v>
      </c>
    </row>
    <row r="3" spans="1:13" ht="45" x14ac:dyDescent="0.25">
      <c r="A3" s="165" t="s">
        <v>187</v>
      </c>
      <c r="B3" s="165" t="s">
        <v>188</v>
      </c>
      <c r="C3" s="165" t="s">
        <v>193</v>
      </c>
      <c r="D3" s="165" t="s">
        <v>198</v>
      </c>
      <c r="E3" s="165" t="s">
        <v>200</v>
      </c>
      <c r="F3" s="165">
        <v>6</v>
      </c>
      <c r="I3" s="168" t="s">
        <v>201</v>
      </c>
      <c r="J3" s="168" t="s">
        <v>200</v>
      </c>
      <c r="K3" s="170">
        <v>4</v>
      </c>
      <c r="L3" s="167">
        <v>2</v>
      </c>
      <c r="M3" s="167">
        <v>1</v>
      </c>
    </row>
    <row r="4" spans="1:13" ht="30" x14ac:dyDescent="0.25">
      <c r="A4" s="165" t="s">
        <v>183</v>
      </c>
      <c r="B4" s="165" t="s">
        <v>189</v>
      </c>
      <c r="C4" s="165" t="s">
        <v>194</v>
      </c>
      <c r="D4" s="165" t="s">
        <v>199</v>
      </c>
      <c r="E4" s="165" t="s">
        <v>200</v>
      </c>
      <c r="F4" s="165">
        <v>7</v>
      </c>
      <c r="I4" s="168"/>
      <c r="J4" s="168" t="s">
        <v>199</v>
      </c>
      <c r="K4" s="169">
        <v>7</v>
      </c>
      <c r="L4" s="170">
        <v>5</v>
      </c>
      <c r="M4" s="167">
        <v>3</v>
      </c>
    </row>
    <row r="5" spans="1:13" ht="30" x14ac:dyDescent="0.25">
      <c r="A5" s="165" t="s">
        <v>184</v>
      </c>
      <c r="B5" s="165" t="s">
        <v>190</v>
      </c>
      <c r="C5" s="165" t="s">
        <v>195</v>
      </c>
      <c r="D5" s="165" t="s">
        <v>200</v>
      </c>
      <c r="E5" s="165" t="s">
        <v>198</v>
      </c>
      <c r="F5" s="165">
        <v>4</v>
      </c>
      <c r="I5" s="168"/>
      <c r="J5" s="168" t="s">
        <v>198</v>
      </c>
      <c r="K5" s="169">
        <v>9</v>
      </c>
      <c r="L5" s="169">
        <v>8</v>
      </c>
      <c r="M5" s="170">
        <v>6</v>
      </c>
    </row>
    <row r="6" spans="1:13" ht="60" x14ac:dyDescent="0.25">
      <c r="A6" s="165" t="s">
        <v>185</v>
      </c>
      <c r="B6" s="165" t="s">
        <v>191</v>
      </c>
      <c r="C6" s="165" t="s">
        <v>197</v>
      </c>
      <c r="D6" s="165" t="s">
        <v>199</v>
      </c>
      <c r="E6" s="165" t="s">
        <v>198</v>
      </c>
      <c r="F6" s="165">
        <v>7</v>
      </c>
      <c r="K6" s="168" t="s">
        <v>198</v>
      </c>
      <c r="L6" s="168" t="s">
        <v>199</v>
      </c>
      <c r="M6" s="168" t="s">
        <v>200</v>
      </c>
    </row>
    <row r="7" spans="1:13" ht="30" x14ac:dyDescent="0.25">
      <c r="A7" s="165" t="s">
        <v>186</v>
      </c>
      <c r="B7" s="165" t="s">
        <v>192</v>
      </c>
      <c r="C7" s="165" t="s">
        <v>196</v>
      </c>
      <c r="D7" s="165" t="s">
        <v>199</v>
      </c>
      <c r="E7" s="165" t="s">
        <v>199</v>
      </c>
      <c r="F7" s="165">
        <v>5</v>
      </c>
      <c r="K7" s="168" t="s">
        <v>181</v>
      </c>
      <c r="L7" s="168"/>
      <c r="M7" s="168"/>
    </row>
    <row r="10" spans="1:13" x14ac:dyDescent="0.25">
      <c r="A10" s="166" t="s">
        <v>212</v>
      </c>
      <c r="B10" s="166" t="s">
        <v>213</v>
      </c>
    </row>
    <row r="11" spans="1:13" x14ac:dyDescent="0.25">
      <c r="A11" s="173" t="s">
        <v>206</v>
      </c>
      <c r="B11" s="175">
        <f>165133.51</f>
        <v>165133.51</v>
      </c>
    </row>
    <row r="12" spans="1:13" x14ac:dyDescent="0.25">
      <c r="A12" s="173" t="s">
        <v>207</v>
      </c>
      <c r="B12" s="175">
        <f>165133.51</f>
        <v>165133.51</v>
      </c>
    </row>
    <row r="13" spans="1:13" x14ac:dyDescent="0.25">
      <c r="A13" s="173" t="s">
        <v>160</v>
      </c>
      <c r="B13" s="175">
        <f>165133.51</f>
        <v>165133.51</v>
      </c>
    </row>
    <row r="14" spans="1:13" x14ac:dyDescent="0.25">
      <c r="A14" s="173" t="s">
        <v>205</v>
      </c>
      <c r="B14" s="175">
        <v>91350.14</v>
      </c>
    </row>
    <row r="15" spans="1:13" x14ac:dyDescent="0.25">
      <c r="A15" s="173" t="s">
        <v>218</v>
      </c>
      <c r="B15" s="175">
        <f>64260.13</f>
        <v>64260.13</v>
      </c>
    </row>
    <row r="16" spans="1:13" x14ac:dyDescent="0.25">
      <c r="A16" s="173" t="s">
        <v>208</v>
      </c>
      <c r="B16" s="175">
        <f>85260.13</f>
        <v>85260.13</v>
      </c>
    </row>
    <row r="17" spans="1:3" x14ac:dyDescent="0.25">
      <c r="A17" s="173" t="s">
        <v>209</v>
      </c>
      <c r="B17" s="175">
        <v>88305.13</v>
      </c>
    </row>
    <row r="18" spans="1:3" x14ac:dyDescent="0.25">
      <c r="A18" s="173" t="s">
        <v>211</v>
      </c>
      <c r="B18" s="175">
        <v>62773.48</v>
      </c>
    </row>
    <row r="19" spans="1:3" x14ac:dyDescent="0.25">
      <c r="A19" s="173" t="s">
        <v>210</v>
      </c>
      <c r="B19" s="175">
        <v>60811.81</v>
      </c>
    </row>
    <row r="20" spans="1:3" x14ac:dyDescent="0.25">
      <c r="A20" s="173" t="s">
        <v>9</v>
      </c>
      <c r="B20" s="173">
        <f>SUM(B11:B19)</f>
        <v>948161.35000000009</v>
      </c>
      <c r="C20">
        <f>Riesgo!B20-Inversion!F32</f>
        <v>859261.35000000009</v>
      </c>
    </row>
    <row r="22" spans="1:3" x14ac:dyDescent="0.25">
      <c r="B22" s="17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Mercado Meta</vt:lpstr>
      <vt:lpstr>Costos</vt:lpstr>
      <vt:lpstr>Mensual</vt:lpstr>
      <vt:lpstr>Estrategia de precio</vt:lpstr>
      <vt:lpstr>Cashflow</vt:lpstr>
      <vt:lpstr>Inversion</vt:lpstr>
      <vt:lpstr>Costo de Desarrollo</vt:lpstr>
      <vt:lpstr>Recursos</vt:lpstr>
      <vt:lpstr>Riesgo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Beron</dc:creator>
  <cp:lastModifiedBy>Marcos Gomez</cp:lastModifiedBy>
  <dcterms:created xsi:type="dcterms:W3CDTF">2017-06-28T22:07:55Z</dcterms:created>
  <dcterms:modified xsi:type="dcterms:W3CDTF">2017-12-20T03:26:11Z</dcterms:modified>
</cp:coreProperties>
</file>