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05" tabRatio="714" activeTab="8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  <sheet name="Riesgo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B20" i="9"/>
  <c r="B15" i="9"/>
  <c r="G30" i="1"/>
  <c r="G18" i="1"/>
  <c r="O38" i="7"/>
  <c r="N38" i="7"/>
  <c r="M38" i="7"/>
  <c r="L38" i="7"/>
  <c r="K38" i="7"/>
  <c r="J38" i="7"/>
  <c r="H38" i="7"/>
  <c r="G38" i="7"/>
  <c r="G39" i="7" s="1"/>
  <c r="F38" i="7"/>
  <c r="E38" i="7"/>
  <c r="D38" i="7"/>
  <c r="N37" i="7"/>
  <c r="M37" i="7"/>
  <c r="M39" i="7" s="1"/>
  <c r="L37" i="7"/>
  <c r="L39" i="7" s="1"/>
  <c r="K37" i="7"/>
  <c r="J37" i="7"/>
  <c r="J39" i="7" s="1"/>
  <c r="H37" i="7"/>
  <c r="H39" i="7" s="1"/>
  <c r="G37" i="7"/>
  <c r="F37" i="7"/>
  <c r="E37" i="7"/>
  <c r="D37" i="7"/>
  <c r="O36" i="7"/>
  <c r="O37" i="7" s="1"/>
  <c r="I36" i="7"/>
  <c r="C35" i="7"/>
  <c r="C37" i="7" s="1"/>
  <c r="I47" i="7"/>
  <c r="O47" i="7"/>
  <c r="C46" i="7" s="1"/>
  <c r="O39" i="7" l="1"/>
  <c r="N39" i="7"/>
  <c r="K39" i="7"/>
  <c r="F39" i="7"/>
  <c r="E39" i="7"/>
  <c r="D39" i="7"/>
  <c r="C38" i="7"/>
  <c r="I37" i="7"/>
  <c r="I38" i="7"/>
  <c r="I39" i="7" l="1"/>
  <c r="B13" i="9" l="1"/>
  <c r="B12" i="9"/>
  <c r="B11" i="9"/>
  <c r="B16" i="9"/>
  <c r="D21" i="3" l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0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O49" i="7"/>
  <c r="N49" i="7"/>
  <c r="M49" i="7"/>
  <c r="L49" i="7"/>
  <c r="K49" i="7"/>
  <c r="J49" i="7"/>
  <c r="I49" i="7"/>
  <c r="N29" i="7"/>
  <c r="M29" i="7"/>
  <c r="L29" i="7"/>
  <c r="K29" i="7"/>
  <c r="J29" i="7"/>
  <c r="N20" i="7"/>
  <c r="M20" i="7"/>
  <c r="L20" i="7"/>
  <c r="K20" i="7"/>
  <c r="J20" i="7"/>
  <c r="M82" i="7" l="1"/>
  <c r="O57" i="7"/>
  <c r="I57" i="7"/>
  <c r="O89" i="7"/>
  <c r="I89" i="7"/>
  <c r="O79" i="7"/>
  <c r="I79" i="7"/>
  <c r="O67" i="7"/>
  <c r="I67" i="7"/>
  <c r="O48" i="7"/>
  <c r="O50" i="7" s="1"/>
  <c r="C49" i="7"/>
  <c r="O27" i="7"/>
  <c r="I27" i="7"/>
  <c r="O18" i="7"/>
  <c r="I18" i="7"/>
  <c r="O8" i="7"/>
  <c r="I8" i="7"/>
  <c r="I10" i="7" s="1"/>
  <c r="H91" i="7"/>
  <c r="G91" i="7"/>
  <c r="F91" i="7"/>
  <c r="E91" i="7"/>
  <c r="D91" i="7"/>
  <c r="O90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E70" i="7" s="1"/>
  <c r="D68" i="7"/>
  <c r="H59" i="7"/>
  <c r="G59" i="7"/>
  <c r="F59" i="7"/>
  <c r="E59" i="7"/>
  <c r="D59" i="7"/>
  <c r="O58" i="7"/>
  <c r="N58" i="7"/>
  <c r="N60" i="7" s="1"/>
  <c r="M58" i="7"/>
  <c r="M60" i="7" s="1"/>
  <c r="L58" i="7"/>
  <c r="L60" i="7" s="1"/>
  <c r="K58" i="7"/>
  <c r="K60" i="7" s="1"/>
  <c r="J58" i="7"/>
  <c r="J60" i="7" s="1"/>
  <c r="H58" i="7"/>
  <c r="G58" i="7"/>
  <c r="F58" i="7"/>
  <c r="F60" i="7" s="1"/>
  <c r="E58" i="7"/>
  <c r="E60" i="7" s="1"/>
  <c r="D58" i="7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O28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G19" i="7"/>
  <c r="F19" i="7"/>
  <c r="E19" i="7"/>
  <c r="D19" i="7"/>
  <c r="O9" i="7"/>
  <c r="E9" i="7"/>
  <c r="F9" i="7"/>
  <c r="G9" i="7"/>
  <c r="H9" i="7"/>
  <c r="J9" i="7"/>
  <c r="K9" i="7"/>
  <c r="L9" i="7"/>
  <c r="M9" i="7"/>
  <c r="N9" i="7"/>
  <c r="E10" i="7"/>
  <c r="E11" i="7" s="1"/>
  <c r="F10" i="7"/>
  <c r="G10" i="7"/>
  <c r="H10" i="7"/>
  <c r="J10" i="7"/>
  <c r="K10" i="7"/>
  <c r="L10" i="7"/>
  <c r="M10" i="7"/>
  <c r="N10" i="7"/>
  <c r="D10" i="7"/>
  <c r="D11" i="7" s="1"/>
  <c r="D9" i="7"/>
  <c r="O20" i="7" l="1"/>
  <c r="O81" i="7"/>
  <c r="O82" i="7"/>
  <c r="O60" i="7"/>
  <c r="O59" i="7"/>
  <c r="C56" i="7"/>
  <c r="C59" i="7" s="1"/>
  <c r="I11" i="7"/>
  <c r="I28" i="7"/>
  <c r="I29" i="7"/>
  <c r="C66" i="7"/>
  <c r="C69" i="7" s="1"/>
  <c r="I69" i="7"/>
  <c r="I90" i="7"/>
  <c r="I91" i="7"/>
  <c r="I92" i="7"/>
  <c r="C7" i="7"/>
  <c r="C9" i="7" s="1"/>
  <c r="N11" i="7"/>
  <c r="J11" i="7"/>
  <c r="D21" i="7"/>
  <c r="H21" i="7"/>
  <c r="O10" i="7"/>
  <c r="O11" i="7" s="1"/>
  <c r="O30" i="7"/>
  <c r="O29" i="7"/>
  <c r="O68" i="7"/>
  <c r="O69" i="7"/>
  <c r="O70" i="7" s="1"/>
  <c r="O91" i="7"/>
  <c r="O92" i="7" s="1"/>
  <c r="K11" i="7"/>
  <c r="G30" i="7"/>
  <c r="G60" i="7"/>
  <c r="G11" i="7"/>
  <c r="I9" i="7"/>
  <c r="I68" i="7"/>
  <c r="I70" i="7" s="1"/>
  <c r="G82" i="7"/>
  <c r="I20" i="7"/>
  <c r="I80" i="7"/>
  <c r="I81" i="7"/>
  <c r="I58" i="7"/>
  <c r="I59" i="7"/>
  <c r="I60" i="7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I50" i="7" s="1"/>
  <c r="H70" i="7"/>
  <c r="D70" i="7"/>
  <c r="H60" i="7"/>
  <c r="D60" i="7"/>
  <c r="C91" i="7"/>
  <c r="C78" i="7"/>
  <c r="O80" i="7"/>
  <c r="I19" i="7"/>
  <c r="I21" i="7" s="1"/>
  <c r="D99" i="7"/>
  <c r="H50" i="7"/>
  <c r="D50" i="7"/>
  <c r="C68" i="7"/>
  <c r="C58" i="7"/>
  <c r="C48" i="7"/>
  <c r="C28" i="7"/>
  <c r="C19" i="7"/>
  <c r="B6" i="4"/>
  <c r="D9" i="6"/>
  <c r="F5" i="8"/>
  <c r="F6" i="8"/>
  <c r="F7" i="8"/>
  <c r="F8" i="8"/>
  <c r="F10" i="8"/>
  <c r="F11" i="8"/>
  <c r="F12" i="8"/>
  <c r="F13" i="8"/>
  <c r="F14" i="8"/>
  <c r="F4" i="8"/>
  <c r="D7" i="6"/>
  <c r="D8" i="6"/>
  <c r="H8" i="6" s="1"/>
  <c r="E27" i="6" s="1"/>
  <c r="D11" i="6"/>
  <c r="H11" i="6" s="1"/>
  <c r="E30" i="6" s="1"/>
  <c r="D12" i="6"/>
  <c r="I12" i="6" s="1"/>
  <c r="D14" i="6"/>
  <c r="I14" i="6" s="1"/>
  <c r="D15" i="6"/>
  <c r="J15" i="6" s="1"/>
  <c r="D16" i="6"/>
  <c r="H16" i="6" s="1"/>
  <c r="D6" i="6"/>
  <c r="H6" i="6" s="1"/>
  <c r="E25" i="6" s="1"/>
  <c r="C10" i="7" l="1"/>
  <c r="I30" i="7"/>
  <c r="I82" i="7"/>
  <c r="I16" i="6"/>
  <c r="J9" i="6"/>
  <c r="B28" i="6"/>
  <c r="H7" i="6"/>
  <c r="E26" i="6" s="1"/>
  <c r="B26" i="6"/>
  <c r="H15" i="6"/>
  <c r="J6" i="6"/>
  <c r="B25" i="6"/>
  <c r="F25" i="6" s="1"/>
  <c r="J12" i="6"/>
  <c r="B31" i="6"/>
  <c r="I9" i="6"/>
  <c r="I15" i="6"/>
  <c r="J11" i="6"/>
  <c r="B30" i="6"/>
  <c r="F30" i="6" s="1"/>
  <c r="H9" i="6"/>
  <c r="E28" i="6" s="1"/>
  <c r="I11" i="6"/>
  <c r="J16" i="6"/>
  <c r="I8" i="6"/>
  <c r="B27" i="6"/>
  <c r="F27" i="6" s="1"/>
  <c r="J8" i="6"/>
  <c r="D102" i="7"/>
  <c r="C9" i="1" s="1"/>
  <c r="E99" i="7"/>
  <c r="C80" i="7"/>
  <c r="C81" i="7"/>
  <c r="J14" i="6"/>
  <c r="I6" i="6"/>
  <c r="J7" i="6"/>
  <c r="H12" i="6"/>
  <c r="E31" i="6" s="1"/>
  <c r="I7" i="6"/>
  <c r="H14" i="6"/>
  <c r="F15" i="8"/>
  <c r="C18" i="6" s="1"/>
  <c r="D18" i="6" s="1"/>
  <c r="B6" i="5"/>
  <c r="B11" i="5"/>
  <c r="B13" i="5"/>
  <c r="F31" i="6" l="1"/>
  <c r="F26" i="6"/>
  <c r="F28" i="6"/>
  <c r="F32" i="6" s="1"/>
  <c r="F99" i="7"/>
  <c r="F102" i="7" s="1"/>
  <c r="C33" i="1" s="1"/>
  <c r="C34" i="1" s="1"/>
  <c r="C35" i="1" s="1"/>
  <c r="E102" i="7"/>
  <c r="C21" i="1" s="1"/>
  <c r="C22" i="1" s="1"/>
  <c r="C23" i="1" s="1"/>
  <c r="D19" i="6"/>
  <c r="B20" i="5" s="1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5" i="3"/>
  <c r="C37" i="3" l="1"/>
  <c r="C33" i="3"/>
  <c r="C29" i="3"/>
  <c r="C25" i="3"/>
  <c r="C21" i="3"/>
  <c r="E21" i="3" s="1"/>
  <c r="C36" i="3"/>
  <c r="C32" i="3"/>
  <c r="C28" i="3"/>
  <c r="C24" i="3"/>
  <c r="C20" i="3"/>
  <c r="E20" i="3" s="1"/>
  <c r="C39" i="3"/>
  <c r="C35" i="3"/>
  <c r="C31" i="3"/>
  <c r="C27" i="3"/>
  <c r="C23" i="3"/>
  <c r="C38" i="3"/>
  <c r="C34" i="3"/>
  <c r="C30" i="3"/>
  <c r="C26" i="3"/>
  <c r="C22" i="3"/>
  <c r="E22" i="3" s="1"/>
  <c r="L3" i="2"/>
  <c r="M3" i="2"/>
  <c r="D9" i="2"/>
  <c r="E3" i="2"/>
  <c r="C3" i="2"/>
  <c r="E8" i="2"/>
  <c r="B28" i="2" s="1"/>
  <c r="D32" i="2" s="1"/>
  <c r="D33" i="2" s="1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G8" i="1" l="1"/>
  <c r="C8" i="5" s="1"/>
  <c r="H4" i="1"/>
  <c r="H3" i="1"/>
  <c r="H5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3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31" i="1" l="1"/>
  <c r="G20" i="1"/>
  <c r="G17" i="1"/>
  <c r="G16" i="1"/>
  <c r="G15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4" i="3"/>
  <c r="D9" i="5"/>
  <c r="E9" i="5" s="1"/>
  <c r="C11" i="5"/>
  <c r="C6" i="5"/>
  <c r="H9" i="2"/>
  <c r="F9" i="2"/>
  <c r="F11" i="2" s="1"/>
  <c r="D5" i="5" s="1"/>
  <c r="I10" i="5" s="1"/>
  <c r="G29" i="1" l="1"/>
  <c r="G27" i="1"/>
  <c r="G32" i="1"/>
  <c r="E8" i="5" s="1"/>
  <c r="E11" i="5" s="1"/>
  <c r="G28" i="1"/>
  <c r="B45" i="2"/>
  <c r="N44" i="2"/>
  <c r="N45" i="2" s="1"/>
  <c r="E25" i="3"/>
  <c r="C13" i="5"/>
  <c r="C15" i="5" s="1"/>
  <c r="D6" i="5"/>
  <c r="H11" i="2"/>
  <c r="H5" i="2"/>
  <c r="E26" i="3" l="1"/>
  <c r="H4" i="5"/>
  <c r="E6" i="5"/>
  <c r="E13" i="5" s="1"/>
  <c r="E15" i="5" s="1"/>
  <c r="E5" i="5"/>
  <c r="J10" i="5" s="1"/>
  <c r="E27" i="3" l="1"/>
  <c r="C17" i="5"/>
  <c r="C20" i="5" s="1"/>
  <c r="E17" i="5"/>
  <c r="E20" i="5" s="1"/>
  <c r="J4" i="5"/>
  <c r="E28" i="3" l="1"/>
  <c r="D8" i="5"/>
  <c r="D11" i="5" s="1"/>
  <c r="D13" i="5" s="1"/>
  <c r="D15" i="5" s="1"/>
  <c r="E29" i="3" l="1"/>
  <c r="D17" i="5"/>
  <c r="D20" i="5" s="1"/>
  <c r="I4" i="5"/>
  <c r="B24" i="5" l="1"/>
  <c r="B23" i="5"/>
  <c r="E30" i="3"/>
  <c r="E31" i="3" l="1"/>
  <c r="E32" i="3" l="1"/>
  <c r="E33" i="3" l="1"/>
  <c r="E34" i="3" l="1"/>
  <c r="E35" i="3" l="1"/>
  <c r="E36" i="3" l="1"/>
  <c r="E37" i="3" l="1"/>
  <c r="E38" i="3" l="1"/>
  <c r="E39" i="3"/>
</calcChain>
</file>

<file path=xl/sharedStrings.xml><?xml version="1.0" encoding="utf-8"?>
<sst xmlns="http://schemas.openxmlformats.org/spreadsheetml/2006/main" count="486" uniqueCount="224">
  <si>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</si>
  <si>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</si>
  <si>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</si>
  <si>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</si>
  <si>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</si>
  <si>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</si>
  <si>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</si>
  <si>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</si>
  <si>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</si>
  <si>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</si>
  <si>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</si>
  <si>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</si>
  <si>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</si>
  <si>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</si>
  <si>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</si>
  <si>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</si>
  <si>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</si>
  <si>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</si>
  <si>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</si>
  <si>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</si>
  <si>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</si>
  <si>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</si>
  <si>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</si>
  <si>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</si>
  <si>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</si>
  <si>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</si>
  <si>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</si>
  <si>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</si>
  <si>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</si>
  <si>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</si>
  <si>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</si>
  <si>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</si>
  <si>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</si>
  <si>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</si>
  <si>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</si>
  <si>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</si>
  <si>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</si>
  <si>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</si>
  <si>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</si>
  <si>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</si>
  <si>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</si>
  <si>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</si>
  <si>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</si>
  <si>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</si>
  <si>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</si>
  <si>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</si>
  <si>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</si>
  <si>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</si>
  <si>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</si>
  <si>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</si>
  <si>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</si>
  <si>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</si>
  <si>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</si>
  <si>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</si>
  <si>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</si>
  <si>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</si>
  <si>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</si>
  <si>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</si>
  <si>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</si>
  <si>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</si>
  <si>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</si>
  <si>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</si>
  <si>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</si>
  <si>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</si>
  <si>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</si>
  <si>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</si>
  <si>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</si>
  <si>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</si>
  <si>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</si>
  <si>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</si>
  <si>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</si>
  <si>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</si>
  <si>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</si>
  <si>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</si>
  <si>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</si>
  <si>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</si>
  <si>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</si>
  <si>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</si>
  <si>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</si>
  <si>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</si>
  <si>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</si>
  <si>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</si>
  <si>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</si>
  <si>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</si>
  <si>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</si>
  <si>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</si>
  <si>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</si>
  <si>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</si>
  <si>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</si>
  <si>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</si>
  <si>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</si>
  <si>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</si>
  <si>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</si>
  <si>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</si>
  <si>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</si>
  <si>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</si>
  <si>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</si>
  <si>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</si>
  <si>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</si>
  <si>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</si>
  <si>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</si>
  <si>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</si>
  <si>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</si>
  <si>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</si>
  <si>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</si>
  <si>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</si>
  <si>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</si>
  <si>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</si>
  <si>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</si>
  <si>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</si>
  <si>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</si>
  <si>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</si>
  <si>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</si>
  <si>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</si>
  <si>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</si>
  <si>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</si>
  <si>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</si>
  <si>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</si>
  <si>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</si>
  <si>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</si>
  <si>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</si>
  <si>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</si>
  <si>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</si>
  <si>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</si>
  <si>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</si>
  <si>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</si>
  <si>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</si>
  <si>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</si>
  <si>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</si>
  <si>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</si>
  <si>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</si>
  <si>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</si>
  <si>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</si>
  <si>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</si>
  <si>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</si>
  <si>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</si>
  <si>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</si>
  <si>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</si>
  <si>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</si>
  <si>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</si>
  <si>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</si>
  <si>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</si>
  <si>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</si>
  <si>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</si>
  <si>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</si>
  <si>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</si>
  <si>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</si>
  <si>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</si>
  <si>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</si>
  <si>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</si>
  <si>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</si>
  <si>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</si>
  <si>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</si>
  <si>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</si>
  <si>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</si>
  <si>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</si>
  <si>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</si>
  <si>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</si>
  <si>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</si>
  <si>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</si>
  <si>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</si>
  <si>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</si>
  <si>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</si>
  <si>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</si>
  <si>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</si>
  <si>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</si>
  <si>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</si>
  <si>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</si>
  <si>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</si>
  <si>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</si>
  <si>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</si>
  <si>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</si>
  <si>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</si>
  <si>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</si>
  <si>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</si>
  <si>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</si>
  <si>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por venta</t>
  </si>
  <si>
    <t>Matriz de Riesgo</t>
  </si>
  <si>
    <t>Riesgo</t>
  </si>
  <si>
    <t>Causa</t>
  </si>
  <si>
    <t>Efecto</t>
  </si>
  <si>
    <t>Ocurrencia (P)</t>
  </si>
  <si>
    <t>Impacto</t>
  </si>
  <si>
    <t>Prioridad</t>
  </si>
  <si>
    <t>No se alcanzan las ventas esperadas</t>
  </si>
  <si>
    <t>La inflacion alcanza un porcentaje no esperado</t>
  </si>
  <si>
    <t>La coyuntura del pais no es buena economicamente</t>
  </si>
  <si>
    <t>Nuevos competidores</t>
  </si>
  <si>
    <t>Aumentan retenciones al turismo</t>
  </si>
  <si>
    <t>Nuevo metodo de recaudacion por el estado</t>
  </si>
  <si>
    <t>Se arranca con malas ventas los primeros dos años</t>
  </si>
  <si>
    <t>La inflacion es de un 30% constante por año</t>
  </si>
  <si>
    <t>Aumenta el costo de vida, y baja el empleo</t>
  </si>
  <si>
    <t>Aparecen nuevos competidores copiando nuestro sistema</t>
  </si>
  <si>
    <t>Menos inversores se interesan en invertir en turismo</t>
  </si>
  <si>
    <t>No se puede cubrir los costos minimos</t>
  </si>
  <si>
    <t>Los costos fijos aumentaran un 30%</t>
  </si>
  <si>
    <t>Las ventas diminuyen un 20%</t>
  </si>
  <si>
    <t>Menos inversores en codiciones de invertir. Las ventas disminuyen un 30%</t>
  </si>
  <si>
    <t>Baja</t>
  </si>
  <si>
    <t>Media</t>
  </si>
  <si>
    <t>Alta</t>
  </si>
  <si>
    <t>Probabilidad</t>
  </si>
  <si>
    <t>Valor de activos a los 3 años</t>
  </si>
  <si>
    <t>Anos Amortizacion</t>
  </si>
  <si>
    <t>Resultado parcial</t>
  </si>
  <si>
    <t>Analista desarrollador</t>
  </si>
  <si>
    <t>Gerente IT</t>
  </si>
  <si>
    <t>Gerente Mkt</t>
  </si>
  <si>
    <t>Tecnico de Infraestructura</t>
  </si>
  <si>
    <t>Responsable Gd Clientes</t>
  </si>
  <si>
    <t xml:space="preserve">Responsable promociones </t>
  </si>
  <si>
    <t>Responsable nv mercados</t>
  </si>
  <si>
    <t>Cargo</t>
  </si>
  <si>
    <t>Indeminazion</t>
  </si>
  <si>
    <t>Desarrollo del sitio</t>
  </si>
  <si>
    <t>A los 3 años</t>
  </si>
  <si>
    <t>Valor venta</t>
  </si>
  <si>
    <t>Prom ventas por mes</t>
  </si>
  <si>
    <t>Soporte Tecnico</t>
  </si>
  <si>
    <t>Año 2. Se suman 3 nuevos recursos y un nuevo Soporte Tecnico</t>
  </si>
  <si>
    <t>Año 3. Se suman 2 recursos, y otro Soporte Tecnico</t>
  </si>
  <si>
    <t>Salarios Variables</t>
  </si>
  <si>
    <t>Salarios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</si>
</sst>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43" applyNumberFormat="0" applyAlignment="0" applyProtection="0"/>
  </cellStyleXfs>
  <cellXfs count="22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7" fillId="3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4" borderId="0" xfId="2" applyNumberFormat="1" applyFont="1" applyFill="1"/>
    <xf numFmtId="166" fontId="13" fillId="4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5" borderId="1" xfId="0" applyFont="1" applyFill="1" applyBorder="1"/>
    <xf numFmtId="164" fontId="1" fillId="0" borderId="0" xfId="0" applyNumberFormat="1" applyFont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6" borderId="1" xfId="0" applyFont="1" applyFill="1" applyBorder="1"/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 vertical="center"/>
    </xf>
    <xf numFmtId="0" fontId="2" fillId="7" borderId="16" xfId="0" applyFont="1" applyFill="1" applyBorder="1"/>
    <xf numFmtId="0" fontId="21" fillId="7" borderId="16" xfId="0" applyFont="1" applyFill="1" applyBorder="1"/>
    <xf numFmtId="0" fontId="2" fillId="7" borderId="18" xfId="0" applyFont="1" applyFill="1" applyBorder="1"/>
    <xf numFmtId="0" fontId="2" fillId="7" borderId="22" xfId="0" applyFont="1" applyFill="1" applyBorder="1"/>
    <xf numFmtId="0" fontId="21" fillId="7" borderId="7" xfId="0" applyFont="1" applyFill="1" applyBorder="1"/>
    <xf numFmtId="0" fontId="21" fillId="7" borderId="30" xfId="0" applyFont="1" applyFill="1" applyBorder="1"/>
    <xf numFmtId="0" fontId="21" fillId="7" borderId="12" xfId="0" applyFont="1" applyFill="1" applyBorder="1"/>
    <xf numFmtId="0" fontId="21" fillId="7" borderId="5" xfId="0" applyFont="1" applyFill="1" applyBorder="1"/>
    <xf numFmtId="0" fontId="21" fillId="7" borderId="2" xfId="0" applyFont="1" applyFill="1" applyBorder="1"/>
    <xf numFmtId="0" fontId="8" fillId="7" borderId="2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21" fillId="7" borderId="0" xfId="0" applyFont="1" applyFill="1"/>
    <xf numFmtId="0" fontId="2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6" xfId="0" applyFont="1" applyFill="1" applyBorder="1" applyAlignment="1"/>
    <xf numFmtId="164" fontId="12" fillId="7" borderId="1" xfId="0" applyNumberFormat="1" applyFont="1" applyFill="1" applyBorder="1"/>
    <xf numFmtId="49" fontId="18" fillId="7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7" borderId="1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/>
    </xf>
    <xf numFmtId="167" fontId="19" fillId="7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/>
    <xf numFmtId="0" fontId="2" fillId="8" borderId="0" xfId="0" applyFont="1" applyFill="1"/>
    <xf numFmtId="0" fontId="21" fillId="8" borderId="0" xfId="0" applyFont="1" applyFill="1"/>
    <xf numFmtId="167" fontId="15" fillId="7" borderId="0" xfId="0" applyNumberFormat="1" applyFont="1" applyFill="1"/>
    <xf numFmtId="167" fontId="15" fillId="7" borderId="2" xfId="0" applyNumberFormat="1" applyFont="1" applyFill="1" applyBorder="1"/>
    <xf numFmtId="0" fontId="3" fillId="7" borderId="5" xfId="0" applyFont="1" applyFill="1" applyBorder="1"/>
    <xf numFmtId="0" fontId="3" fillId="7" borderId="21" xfId="0" applyFont="1" applyFill="1" applyBorder="1"/>
    <xf numFmtId="168" fontId="15" fillId="7" borderId="4" xfId="1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9" fontId="3" fillId="4" borderId="19" xfId="1" applyFont="1" applyFill="1" applyBorder="1" applyAlignment="1">
      <alignment horizontal="right"/>
    </xf>
    <xf numFmtId="8" fontId="3" fillId="4" borderId="6" xfId="0" applyNumberFormat="1" applyFont="1" applyFill="1" applyBorder="1"/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3" borderId="0" xfId="0" applyFill="1" applyAlignment="1">
      <alignment wrapText="1"/>
    </xf>
    <xf numFmtId="0" fontId="22" fillId="9" borderId="0" xfId="3"/>
    <xf numFmtId="0" fontId="24" fillId="11" borderId="0" xfId="5"/>
    <xf numFmtId="0" fontId="23" fillId="10" borderId="0" xfId="4"/>
    <xf numFmtId="0" fontId="25" fillId="12" borderId="43" xfId="6"/>
    <xf numFmtId="16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164" fontId="0" fillId="13" borderId="0" xfId="0" applyNumberFormat="1" applyFill="1"/>
    <xf numFmtId="0" fontId="26" fillId="0" borderId="0" xfId="0" applyFont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1" fillId="7" borderId="14" xfId="0" applyFont="1" applyFill="1" applyBorder="1" applyAlignment="1">
      <alignment horizontal="center"/>
    </xf>
    <xf numFmtId="0" fontId="21" fillId="7" borderId="15" xfId="0" applyFont="1" applyFill="1" applyBorder="1" applyAlignment="1">
      <alignment horizontal="center"/>
    </xf>
    <xf numFmtId="0" fontId="21" fillId="7" borderId="20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 vertical="center"/>
    </xf>
    <xf numFmtId="0" fontId="21" fillId="7" borderId="38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/>
    </xf>
    <xf numFmtId="0" fontId="21" fillId="7" borderId="16" xfId="0" applyFont="1" applyFill="1" applyBorder="1" applyAlignment="1">
      <alignment horizontal="center"/>
    </xf>
    <xf numFmtId="0" fontId="21" fillId="7" borderId="34" xfId="0" applyFont="1" applyFill="1" applyBorder="1" applyAlignment="1">
      <alignment horizontal="center"/>
    </xf>
    <xf numFmtId="0" fontId="21" fillId="7" borderId="35" xfId="0" applyFon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0" fontId="0" fillId="0" borderId="23" xfId="0" applyBorder="1"/>
    <xf numFmtId="0" fontId="0" fillId="0" borderId="44" xfId="0" applyBorder="1" applyAlignment="1">
      <alignment horizontal="center" vertical="center" wrapText="1"/>
    </xf>
  </cellXfs>
  <cellStyles count="7">
    <cellStyle name="Bad" xfId="4" builtinId="27"/>
    <cellStyle name="Good" xfId="3" builtinId="26"/>
    <cellStyle name="Input" xfId="6" builtinId="20"/>
    <cellStyle name="Moneda 2" xfId="2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198</c:v>
                </c:pt>
                <c:pt idx="1">
                  <c:v>290</c:v>
                </c:pt>
                <c:pt idx="2">
                  <c:v>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586944"/>
        <c:axId val="101074624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2376000</c:v>
                </c:pt>
                <c:pt idx="1">
                  <c:v>3480000</c:v>
                </c:pt>
                <c:pt idx="2">
                  <c:v>4716000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7968"/>
        <c:axId val="101075200"/>
      </c:lineChart>
      <c:catAx>
        <c:axId val="1015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074624"/>
        <c:crosses val="autoZero"/>
        <c:auto val="1"/>
        <c:lblAlgn val="ctr"/>
        <c:lblOffset val="100"/>
        <c:noMultiLvlLbl val="0"/>
      </c:catAx>
      <c:valAx>
        <c:axId val="1010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586944"/>
        <c:crosses val="autoZero"/>
        <c:crossBetween val="between"/>
      </c:valAx>
      <c:valAx>
        <c:axId val="101075200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587968"/>
        <c:crosses val="max"/>
        <c:crossBetween val="between"/>
      </c:valAx>
      <c:catAx>
        <c:axId val="101587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0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1.98</c:v>
                </c:pt>
                <c:pt idx="2">
                  <c:v>3.96</c:v>
                </c:pt>
                <c:pt idx="3">
                  <c:v>7.92</c:v>
                </c:pt>
                <c:pt idx="4">
                  <c:v>9.9</c:v>
                </c:pt>
                <c:pt idx="5">
                  <c:v>15.84</c:v>
                </c:pt>
                <c:pt idx="6">
                  <c:v>23.759999999999998</c:v>
                </c:pt>
                <c:pt idx="7">
                  <c:v>19.8</c:v>
                </c:pt>
                <c:pt idx="8">
                  <c:v>27.720000000000002</c:v>
                </c:pt>
                <c:pt idx="9">
                  <c:v>25.740000000000002</c:v>
                </c:pt>
                <c:pt idx="10">
                  <c:v>31.68</c:v>
                </c:pt>
                <c:pt idx="11">
                  <c:v>29.7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1312"/>
        <c:axId val="101077504"/>
      </c:lineChart>
      <c:catAx>
        <c:axId val="10222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077504"/>
        <c:crosses val="autoZero"/>
        <c:auto val="1"/>
        <c:lblAlgn val="ctr"/>
        <c:lblOffset val="100"/>
        <c:noMultiLvlLbl val="0"/>
      </c:catAx>
      <c:valAx>
        <c:axId val="101077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23.2</c:v>
                </c:pt>
                <c:pt idx="1">
                  <c:v>26.099999999999998</c:v>
                </c:pt>
                <c:pt idx="2">
                  <c:v>17.399999999999999</c:v>
                </c:pt>
                <c:pt idx="3">
                  <c:v>20.3</c:v>
                </c:pt>
                <c:pt idx="4">
                  <c:v>17.399999999999999</c:v>
                </c:pt>
                <c:pt idx="5">
                  <c:v>20.3</c:v>
                </c:pt>
                <c:pt idx="6">
                  <c:v>17.399999999999999</c:v>
                </c:pt>
                <c:pt idx="7">
                  <c:v>26.099999999999998</c:v>
                </c:pt>
                <c:pt idx="8">
                  <c:v>23.2</c:v>
                </c:pt>
                <c:pt idx="9">
                  <c:v>29</c:v>
                </c:pt>
                <c:pt idx="10">
                  <c:v>34.799999999999997</c:v>
                </c:pt>
                <c:pt idx="11">
                  <c:v>34.799999999999997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2336"/>
        <c:axId val="101079808"/>
      </c:lineChart>
      <c:catAx>
        <c:axId val="10222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079808"/>
        <c:crosses val="autoZero"/>
        <c:auto val="1"/>
        <c:lblAlgn val="ctr"/>
        <c:lblOffset val="100"/>
        <c:noMultiLvlLbl val="0"/>
      </c:catAx>
      <c:valAx>
        <c:axId val="10107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31.44</c:v>
                </c:pt>
                <c:pt idx="1">
                  <c:v>27.51</c:v>
                </c:pt>
                <c:pt idx="2">
                  <c:v>23.58</c:v>
                </c:pt>
                <c:pt idx="3">
                  <c:v>35.369999999999997</c:v>
                </c:pt>
                <c:pt idx="4">
                  <c:v>31.44</c:v>
                </c:pt>
                <c:pt idx="5">
                  <c:v>29.474999999999998</c:v>
                </c:pt>
                <c:pt idx="6">
                  <c:v>27.51</c:v>
                </c:pt>
                <c:pt idx="7">
                  <c:v>31.44</c:v>
                </c:pt>
                <c:pt idx="8">
                  <c:v>31.44</c:v>
                </c:pt>
                <c:pt idx="9">
                  <c:v>35.369999999999997</c:v>
                </c:pt>
                <c:pt idx="10">
                  <c:v>43.23</c:v>
                </c:pt>
                <c:pt idx="11">
                  <c:v>45.195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3360"/>
        <c:axId val="104522880"/>
      </c:lineChart>
      <c:catAx>
        <c:axId val="10222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522880"/>
        <c:crosses val="autoZero"/>
        <c:auto val="1"/>
        <c:lblAlgn val="ctr"/>
        <c:lblOffset val="100"/>
        <c:noMultiLvlLbl val="0"/>
      </c:catAx>
      <c:valAx>
        <c:axId val="10452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precio'!$C$19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precio'!$B$20:$B$39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precio'!$C$20:$C$39</c:f>
              <c:numCache>
                <c:formatCode>[$$-2C0A]\ #,##0</c:formatCode>
                <c:ptCount val="20"/>
                <c:pt idx="0">
                  <c:v>177000</c:v>
                </c:pt>
                <c:pt idx="1">
                  <c:v>177000</c:v>
                </c:pt>
                <c:pt idx="2">
                  <c:v>177000</c:v>
                </c:pt>
                <c:pt idx="3">
                  <c:v>177000</c:v>
                </c:pt>
                <c:pt idx="4">
                  <c:v>177000</c:v>
                </c:pt>
                <c:pt idx="5">
                  <c:v>177000</c:v>
                </c:pt>
                <c:pt idx="6">
                  <c:v>177000</c:v>
                </c:pt>
                <c:pt idx="7">
                  <c:v>177000</c:v>
                </c:pt>
                <c:pt idx="8">
                  <c:v>177000</c:v>
                </c:pt>
                <c:pt idx="9">
                  <c:v>177000</c:v>
                </c:pt>
                <c:pt idx="10">
                  <c:v>177000</c:v>
                </c:pt>
                <c:pt idx="11">
                  <c:v>177000</c:v>
                </c:pt>
                <c:pt idx="12">
                  <c:v>177000</c:v>
                </c:pt>
                <c:pt idx="13">
                  <c:v>177000</c:v>
                </c:pt>
                <c:pt idx="14">
                  <c:v>177000</c:v>
                </c:pt>
                <c:pt idx="15">
                  <c:v>177000</c:v>
                </c:pt>
                <c:pt idx="16">
                  <c:v>177000</c:v>
                </c:pt>
                <c:pt idx="17">
                  <c:v>177000</c:v>
                </c:pt>
                <c:pt idx="18">
                  <c:v>177000</c:v>
                </c:pt>
                <c:pt idx="19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precio'!$E$19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precio'!$B$20:$B$39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precio'!$E$20:$E$39</c:f>
              <c:numCache>
                <c:formatCode>[$$-2C0A]\ #,##0</c:formatCode>
                <c:ptCount val="20"/>
                <c:pt idx="0">
                  <c:v>185300</c:v>
                </c:pt>
                <c:pt idx="1">
                  <c:v>185715</c:v>
                </c:pt>
                <c:pt idx="2">
                  <c:v>186150.75</c:v>
                </c:pt>
                <c:pt idx="3">
                  <c:v>186608.28750000001</c:v>
                </c:pt>
                <c:pt idx="4">
                  <c:v>187088.701875</c:v>
                </c:pt>
                <c:pt idx="5">
                  <c:v>187593.13696875001</c:v>
                </c:pt>
                <c:pt idx="6">
                  <c:v>188122.79381718751</c:v>
                </c:pt>
                <c:pt idx="7">
                  <c:v>188678.93350804687</c:v>
                </c:pt>
                <c:pt idx="8">
                  <c:v>189262.88018344922</c:v>
                </c:pt>
                <c:pt idx="9">
                  <c:v>189876.0241926217</c:v>
                </c:pt>
                <c:pt idx="10">
                  <c:v>190519.82540225278</c:v>
                </c:pt>
                <c:pt idx="11">
                  <c:v>191195.81667236541</c:v>
                </c:pt>
                <c:pt idx="12">
                  <c:v>191905.60750598367</c:v>
                </c:pt>
                <c:pt idx="13">
                  <c:v>192650.88788128286</c:v>
                </c:pt>
                <c:pt idx="14">
                  <c:v>193433.432275347</c:v>
                </c:pt>
                <c:pt idx="15">
                  <c:v>194255.10388911437</c:v>
                </c:pt>
                <c:pt idx="16">
                  <c:v>195117.85908357007</c:v>
                </c:pt>
                <c:pt idx="17">
                  <c:v>196023.75203774858</c:v>
                </c:pt>
                <c:pt idx="18">
                  <c:v>196974.93963963602</c:v>
                </c:pt>
                <c:pt idx="19">
                  <c:v>197973.68662161782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precio'!$F$19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precio'!$B$20:$B$39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precio'!$F$20:$F$39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14400"/>
        <c:axId val="104525184"/>
      </c:lineChart>
      <c:catAx>
        <c:axId val="9181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525184"/>
        <c:crosses val="autoZero"/>
        <c:auto val="1"/>
        <c:lblAlgn val="ctr"/>
        <c:lblOffset val="100"/>
        <c:noMultiLvlLbl val="0"/>
      </c:catAx>
      <c:valAx>
        <c:axId val="10452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8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24344</xdr:colOff>
      <xdr:row>25</xdr:row>
      <xdr:rowOff>113242</xdr:rowOff>
    </xdr:from>
    <xdr:to>
      <xdr:col>14</xdr:col>
      <xdr:colOff>310094</xdr:colOff>
      <xdr:row>27</xdr:row>
      <xdr:rowOff>8467</xdr:rowOff>
    </xdr:to>
    <xdr:sp macro="" textlink="">
      <xdr:nvSpPr>
        <xdr:cNvPr id="12" name="Elipse 11"/>
        <xdr:cNvSpPr/>
      </xdr:nvSpPr>
      <xdr:spPr>
        <a:xfrm>
          <a:off x="13983761" y="4981575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0.69917</cdr:x>
      <cdr:y>0.33269</cdr:y>
    </cdr:from>
    <cdr:to>
      <cdr:x>0.81394</cdr:x>
      <cdr:y>0.41436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6124576" y="1638307"/>
          <a:ext cx="1005397" cy="402159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11" sqref="D11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167" t="s">
        <v>31</v>
      </c>
      <c r="B4" s="168" t="s">
        <v>39</v>
      </c>
      <c r="C4" s="168" t="s">
        <v>40</v>
      </c>
      <c r="D4" s="168" t="s">
        <v>41</v>
      </c>
    </row>
    <row r="5" spans="1:5" ht="18.75" thickBot="1" x14ac:dyDescent="0.3">
      <c r="A5" s="20" t="s">
        <v>167</v>
      </c>
      <c r="B5" s="22">
        <v>198</v>
      </c>
      <c r="C5" s="22">
        <v>290</v>
      </c>
      <c r="D5" s="22">
        <v>393</v>
      </c>
    </row>
    <row r="6" spans="1:5" ht="18.75" thickBot="1" x14ac:dyDescent="0.3">
      <c r="A6" s="72" t="s">
        <v>146</v>
      </c>
      <c r="B6" s="73">
        <f>E16*B5</f>
        <v>2376000</v>
      </c>
      <c r="C6" s="73">
        <f>E16*C5</f>
        <v>3480000</v>
      </c>
      <c r="D6" s="73">
        <f>E16*D5</f>
        <v>4716000</v>
      </c>
    </row>
    <row r="11" spans="1:5" ht="18" x14ac:dyDescent="0.25">
      <c r="D11" s="21" t="s">
        <v>176</v>
      </c>
    </row>
    <row r="12" spans="1:5" ht="15.75" thickBot="1" x14ac:dyDescent="0.3"/>
    <row r="13" spans="1:5" x14ac:dyDescent="0.25">
      <c r="D13" s="69" t="s">
        <v>169</v>
      </c>
    </row>
    <row r="14" spans="1:5" ht="15.75" thickBot="1" x14ac:dyDescent="0.3">
      <c r="D14" s="71" t="s">
        <v>171</v>
      </c>
    </row>
    <row r="15" spans="1:5" x14ac:dyDescent="0.25">
      <c r="E15" s="70" t="s">
        <v>170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E25" sqref="E25:G32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3" bestFit="1" customWidth="1"/>
  </cols>
  <sheetData>
    <row r="1" spans="1:10" ht="18.75" x14ac:dyDescent="0.3">
      <c r="A1" s="180" t="s">
        <v>96</v>
      </c>
      <c r="B1" s="181"/>
      <c r="C1" s="182"/>
      <c r="E1" s="180" t="s">
        <v>101</v>
      </c>
      <c r="F1" s="181"/>
      <c r="G1" s="182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5" t="s">
        <v>142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23</v>
      </c>
      <c r="G3" s="9">
        <v>5000</v>
      </c>
      <c r="H3" s="46">
        <f>G3/$G$7</f>
        <v>0.19011406844106463</v>
      </c>
      <c r="I3" s="42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23</v>
      </c>
      <c r="G4" s="9">
        <v>1500</v>
      </c>
      <c r="H4" s="46">
        <f t="shared" ref="H4:H5" si="0">G4/$G$7</f>
        <v>5.7034220532319393E-2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23</v>
      </c>
      <c r="G5" s="9">
        <v>1800</v>
      </c>
      <c r="H5" s="46">
        <f t="shared" si="0"/>
        <v>6.8441064638783272E-2</v>
      </c>
      <c r="I5" s="28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222</v>
      </c>
      <c r="F6" s="5"/>
      <c r="G6" s="9">
        <v>18000</v>
      </c>
      <c r="I6" s="28"/>
      <c r="J6" s="23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26300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0" t="s">
        <v>99</v>
      </c>
      <c r="G8" s="13">
        <f>G7*12</f>
        <v>315600</v>
      </c>
    </row>
    <row r="9" spans="1:10" ht="15.75" thickBot="1" x14ac:dyDescent="0.3">
      <c r="A9" s="10" t="s">
        <v>223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4"/>
      <c r="B11" s="31" t="s">
        <v>99</v>
      </c>
      <c r="C11" s="29">
        <f>C10*12</f>
        <v>1782000</v>
      </c>
    </row>
    <row r="12" spans="1:10" ht="15.75" thickBot="1" x14ac:dyDescent="0.3">
      <c r="A12" s="6"/>
    </row>
    <row r="13" spans="1:10" ht="18.75" x14ac:dyDescent="0.3">
      <c r="A13" s="180" t="s">
        <v>97</v>
      </c>
      <c r="B13" s="181"/>
      <c r="C13" s="182"/>
      <c r="E13" s="180" t="s">
        <v>102</v>
      </c>
      <c r="F13" s="181"/>
      <c r="G13" s="182"/>
      <c r="H13" s="47" t="s">
        <v>143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100</v>
      </c>
      <c r="H14" s="48">
        <f>('Mercado Meta'!C5-'Mercado Meta'!B5)/'Mercado Meta'!B5</f>
        <v>0.46464646464646464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23</v>
      </c>
      <c r="G15" s="9">
        <f>G19*H3</f>
        <v>7323.2323232323233</v>
      </c>
      <c r="I15" s="42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23</v>
      </c>
      <c r="G16" s="9">
        <f>G19*H4</f>
        <v>2196.969696969697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23</v>
      </c>
      <c r="G17" s="9">
        <f>G19*H5</f>
        <v>2636.3636363636365</v>
      </c>
      <c r="H17" s="44"/>
      <c r="I17" s="28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222</v>
      </c>
      <c r="F18" s="5"/>
      <c r="G18" s="9">
        <f>2*G6</f>
        <v>36000</v>
      </c>
      <c r="H18" s="44"/>
      <c r="I18" s="28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38520.202020202021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0" t="s">
        <v>99</v>
      </c>
      <c r="G20" s="13">
        <f>G19*12</f>
        <v>462242.42424242425</v>
      </c>
    </row>
    <row r="21" spans="1:9" ht="15.75" thickBot="1" x14ac:dyDescent="0.3">
      <c r="A21" s="10" t="s">
        <v>223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4"/>
      <c r="B23" s="31" t="s">
        <v>99</v>
      </c>
      <c r="C23" s="29">
        <f>C22*12</f>
        <v>2913000</v>
      </c>
    </row>
    <row r="24" spans="1:9" ht="15.75" thickBot="1" x14ac:dyDescent="0.3"/>
    <row r="25" spans="1:9" ht="18.75" x14ac:dyDescent="0.3">
      <c r="A25" s="180" t="s">
        <v>98</v>
      </c>
      <c r="B25" s="181"/>
      <c r="C25" s="182"/>
      <c r="E25" s="180" t="s">
        <v>103</v>
      </c>
      <c r="F25" s="181"/>
      <c r="G25" s="182"/>
      <c r="H25" s="47" t="s">
        <v>144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100</v>
      </c>
      <c r="H26" s="48">
        <f>('Mercado Meta'!D5-'Mercado Meta'!C5)/'Mercado Meta'!C5</f>
        <v>0.35517241379310344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23</v>
      </c>
      <c r="G27" s="9">
        <f>G31*H3</f>
        <v>9924.242424242424</v>
      </c>
      <c r="I27" s="42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23</v>
      </c>
      <c r="G28" s="9">
        <f>G31*H4</f>
        <v>2977.2727272727275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23</v>
      </c>
      <c r="G29" s="9">
        <f>G31*H5</f>
        <v>3572.727272727273</v>
      </c>
      <c r="H29" s="44"/>
      <c r="I29" s="28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222</v>
      </c>
      <c r="F30" s="5"/>
      <c r="G30" s="9">
        <f>G6*3</f>
        <v>54000</v>
      </c>
      <c r="H30" s="44"/>
      <c r="I30" s="28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52201.515151515152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0" t="s">
        <v>99</v>
      </c>
      <c r="G32" s="13">
        <f>G31*12</f>
        <v>626418.18181818188</v>
      </c>
    </row>
    <row r="33" spans="1:3" ht="15.75" thickBot="1" x14ac:dyDescent="0.3">
      <c r="A33" s="10" t="s">
        <v>223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4"/>
      <c r="B35" s="31" t="s">
        <v>99</v>
      </c>
      <c r="C35" s="29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50" zoomScale="70" zoomScaleNormal="70" workbookViewId="0">
      <selection activeCell="J2" sqref="J2"/>
    </sheetView>
  </sheetViews>
  <sheetFormatPr defaultColWidth="11.42578125" defaultRowHeight="18.75" x14ac:dyDescent="0.3"/>
  <cols>
    <col min="1" max="1" width="11.42578125" style="74"/>
    <col min="2" max="2" width="28" style="74" bestFit="1" customWidth="1"/>
    <col min="3" max="3" width="15.140625" style="74" bestFit="1" customWidth="1"/>
    <col min="4" max="7" width="14.85546875" style="74" customWidth="1"/>
    <col min="8" max="8" width="17.42578125" style="74" bestFit="1" customWidth="1"/>
    <col min="9" max="9" width="14" style="74" customWidth="1"/>
    <col min="10" max="10" width="25.28515625" style="74" bestFit="1" customWidth="1"/>
    <col min="11" max="11" width="18.5703125" style="74" bestFit="1" customWidth="1"/>
    <col min="12" max="12" width="12.5703125" style="74" customWidth="1"/>
    <col min="13" max="13" width="12.5703125" style="74" bestFit="1" customWidth="1"/>
    <col min="14" max="14" width="14.7109375" style="74" bestFit="1" customWidth="1"/>
    <col min="15" max="15" width="11.42578125" style="74"/>
  </cols>
  <sheetData>
    <row r="1" spans="2:13" ht="19.5" thickBot="1" x14ac:dyDescent="0.35">
      <c r="C1" s="183" t="s">
        <v>33</v>
      </c>
      <c r="D1" s="184"/>
      <c r="E1" s="183" t="s">
        <v>34</v>
      </c>
      <c r="F1" s="184"/>
      <c r="G1" s="183" t="s">
        <v>35</v>
      </c>
      <c r="H1" s="184"/>
      <c r="I1" s="76"/>
      <c r="K1" s="133" t="s">
        <v>19</v>
      </c>
      <c r="L1" s="134" t="s">
        <v>20</v>
      </c>
      <c r="M1" s="135" t="s">
        <v>21</v>
      </c>
    </row>
    <row r="2" spans="2:13" x14ac:dyDescent="0.3">
      <c r="B2" s="129" t="s">
        <v>173</v>
      </c>
      <c r="C2" s="77">
        <f>'Mercado Meta'!B5/12</f>
        <v>16.5</v>
      </c>
      <c r="D2" s="78"/>
      <c r="E2" s="77">
        <f>'Mercado Meta'!C5/12</f>
        <v>24.166666666666668</v>
      </c>
      <c r="F2" s="78"/>
      <c r="G2" s="77">
        <f>'Mercado Meta'!D5/12</f>
        <v>32.75</v>
      </c>
      <c r="H2" s="78"/>
      <c r="I2" s="79"/>
      <c r="J2" s="137" t="s">
        <v>218</v>
      </c>
      <c r="K2" s="81">
        <f>C2</f>
        <v>16.5</v>
      </c>
      <c r="L2" s="81">
        <f>E2</f>
        <v>24.166666666666668</v>
      </c>
      <c r="M2" s="78">
        <f>G2</f>
        <v>32.75</v>
      </c>
    </row>
    <row r="3" spans="2:13" x14ac:dyDescent="0.3">
      <c r="B3" s="130" t="s">
        <v>17</v>
      </c>
      <c r="C3" s="82">
        <f>C2</f>
        <v>16.5</v>
      </c>
      <c r="D3" s="83">
        <f>C3*$L$11</f>
        <v>198000</v>
      </c>
      <c r="E3" s="82">
        <f>E2</f>
        <v>24.166666666666668</v>
      </c>
      <c r="F3" s="83">
        <f>E3*$L$11</f>
        <v>290000</v>
      </c>
      <c r="G3" s="82">
        <f>G2</f>
        <v>32.75</v>
      </c>
      <c r="H3" s="83">
        <f>G3*$L$11</f>
        <v>393000</v>
      </c>
      <c r="I3" s="84"/>
      <c r="J3" s="136" t="s">
        <v>32</v>
      </c>
      <c r="K3" s="85"/>
      <c r="L3" s="86">
        <f>(L2-K2)/K2</f>
        <v>0.4646464646464647</v>
      </c>
      <c r="M3" s="87">
        <f>(M2-L2)/L2</f>
        <v>0.35517241379310338</v>
      </c>
    </row>
    <row r="4" spans="2:13" ht="19.5" thickBot="1" x14ac:dyDescent="0.35">
      <c r="B4" s="130"/>
      <c r="C4" s="88"/>
      <c r="D4" s="89"/>
      <c r="E4" s="88"/>
      <c r="F4" s="89"/>
      <c r="G4" s="88"/>
      <c r="H4" s="89"/>
      <c r="I4" s="84"/>
      <c r="J4" s="136" t="s">
        <v>217</v>
      </c>
      <c r="K4" s="90">
        <v>12000</v>
      </c>
      <c r="L4" s="90">
        <v>12000</v>
      </c>
      <c r="M4" s="90">
        <v>12000</v>
      </c>
    </row>
    <row r="5" spans="2:13" ht="19.5" thickBot="1" x14ac:dyDescent="0.35">
      <c r="B5" s="131" t="s">
        <v>17</v>
      </c>
      <c r="C5" s="92"/>
      <c r="D5" s="93">
        <f>D3+D4</f>
        <v>198000</v>
      </c>
      <c r="E5" s="91"/>
      <c r="F5" s="93">
        <f>F3+F4</f>
        <v>290000</v>
      </c>
      <c r="G5" s="91"/>
      <c r="H5" s="93">
        <f>H3+H4</f>
        <v>393000</v>
      </c>
      <c r="I5" s="94"/>
      <c r="J5" s="95"/>
      <c r="K5" s="96"/>
      <c r="L5" s="96"/>
      <c r="M5" s="96"/>
    </row>
    <row r="6" spans="2:13" ht="19.5" thickBot="1" x14ac:dyDescent="0.35"/>
    <row r="7" spans="2:13" ht="19.5" thickBot="1" x14ac:dyDescent="0.35">
      <c r="C7" s="185" t="s">
        <v>19</v>
      </c>
      <c r="D7" s="186"/>
      <c r="E7" s="185" t="s">
        <v>20</v>
      </c>
      <c r="F7" s="186"/>
      <c r="G7" s="185" t="s">
        <v>21</v>
      </c>
      <c r="H7" s="186"/>
      <c r="I7" s="76"/>
    </row>
    <row r="8" spans="2:13" x14ac:dyDescent="0.3">
      <c r="B8" s="129" t="s">
        <v>174</v>
      </c>
      <c r="C8" s="80">
        <f>'Mercado Meta'!B5</f>
        <v>198</v>
      </c>
      <c r="D8" s="97"/>
      <c r="E8" s="98">
        <f>(C8*L3)+C8</f>
        <v>290</v>
      </c>
      <c r="F8" s="97"/>
      <c r="G8" s="98">
        <f>(E8*M3)+E8</f>
        <v>393</v>
      </c>
      <c r="H8" s="97"/>
      <c r="I8" s="79"/>
    </row>
    <row r="9" spans="2:13" ht="19.5" thickBot="1" x14ac:dyDescent="0.35">
      <c r="B9" s="130" t="s">
        <v>18</v>
      </c>
      <c r="C9" s="82">
        <f>C8</f>
        <v>198</v>
      </c>
      <c r="D9" s="100">
        <f>C9*$K$4</f>
        <v>2376000</v>
      </c>
      <c r="E9" s="82">
        <f>E8</f>
        <v>290</v>
      </c>
      <c r="F9" s="100">
        <f>E9*$L$4</f>
        <v>3480000</v>
      </c>
      <c r="G9" s="82">
        <f>G8</f>
        <v>393</v>
      </c>
      <c r="H9" s="100">
        <f>G9*$M$4</f>
        <v>4716000</v>
      </c>
      <c r="I9" s="84"/>
    </row>
    <row r="10" spans="2:13" ht="19.5" thickBot="1" x14ac:dyDescent="0.35">
      <c r="B10" s="130"/>
      <c r="C10" s="88"/>
      <c r="D10" s="101"/>
      <c r="E10" s="88"/>
      <c r="F10" s="101"/>
      <c r="G10" s="88"/>
      <c r="H10" s="101"/>
      <c r="I10" s="84"/>
      <c r="K10" s="138" t="s">
        <v>169</v>
      </c>
      <c r="L10" s="140" t="s">
        <v>170</v>
      </c>
    </row>
    <row r="11" spans="2:13" ht="19.5" thickBot="1" x14ac:dyDescent="0.35">
      <c r="B11" s="132" t="s">
        <v>18</v>
      </c>
      <c r="C11" s="92"/>
      <c r="D11" s="93">
        <f>D9+D10</f>
        <v>2376000</v>
      </c>
      <c r="E11" s="91"/>
      <c r="F11" s="93">
        <f>F9+F10</f>
        <v>3480000</v>
      </c>
      <c r="G11" s="91"/>
      <c r="H11" s="93">
        <f>H9+H10</f>
        <v>4716000</v>
      </c>
      <c r="I11" s="94"/>
      <c r="K11" s="139" t="s">
        <v>171</v>
      </c>
      <c r="L11" s="15">
        <v>12000</v>
      </c>
    </row>
    <row r="16" spans="2:13" x14ac:dyDescent="0.3">
      <c r="B16" s="75"/>
      <c r="C16" s="74">
        <v>2200</v>
      </c>
    </row>
    <row r="17" spans="1:14" x14ac:dyDescent="0.3">
      <c r="B17" s="75">
        <f>'Mercado Meta'!B5</f>
        <v>198</v>
      </c>
    </row>
    <row r="18" spans="1:14" x14ac:dyDescent="0.3">
      <c r="B18" s="141" t="s">
        <v>36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</row>
    <row r="19" spans="1:14" x14ac:dyDescent="0.3">
      <c r="B19" s="102">
        <v>0</v>
      </c>
      <c r="C19" s="102">
        <v>0.01</v>
      </c>
      <c r="D19" s="102">
        <v>0.02</v>
      </c>
      <c r="E19" s="102">
        <v>0.04</v>
      </c>
      <c r="F19" s="102">
        <v>0.05</v>
      </c>
      <c r="G19" s="102">
        <v>0.08</v>
      </c>
      <c r="H19" s="102">
        <v>0.12</v>
      </c>
      <c r="I19" s="102">
        <v>0.1</v>
      </c>
      <c r="J19" s="102">
        <v>0.14000000000000001</v>
      </c>
      <c r="K19" s="102">
        <v>0.13</v>
      </c>
      <c r="L19" s="102">
        <v>0.16</v>
      </c>
      <c r="M19" s="102">
        <v>0.15</v>
      </c>
      <c r="N19" s="102">
        <f>SUM(B19:M19)</f>
        <v>1</v>
      </c>
    </row>
    <row r="20" spans="1:14" x14ac:dyDescent="0.3">
      <c r="B20" s="142" t="s">
        <v>42</v>
      </c>
      <c r="C20" s="142" t="s">
        <v>43</v>
      </c>
      <c r="D20" s="142" t="s">
        <v>44</v>
      </c>
      <c r="E20" s="142" t="s">
        <v>45</v>
      </c>
      <c r="F20" s="142" t="s">
        <v>46</v>
      </c>
      <c r="G20" s="142" t="s">
        <v>47</v>
      </c>
      <c r="H20" s="142" t="s">
        <v>48</v>
      </c>
      <c r="I20" s="142" t="s">
        <v>49</v>
      </c>
      <c r="J20" s="142" t="s">
        <v>50</v>
      </c>
      <c r="K20" s="142" t="s">
        <v>51</v>
      </c>
      <c r="L20" s="142" t="s">
        <v>52</v>
      </c>
      <c r="M20" s="142" t="s">
        <v>53</v>
      </c>
      <c r="N20" s="142"/>
    </row>
    <row r="21" spans="1:14" x14ac:dyDescent="0.3">
      <c r="A21" s="74" t="s">
        <v>79</v>
      </c>
      <c r="B21" s="103">
        <f>$B$17*B19</f>
        <v>0</v>
      </c>
      <c r="C21" s="103">
        <f t="shared" ref="C21:M21" si="0">$B$17*C19</f>
        <v>1.98</v>
      </c>
      <c r="D21" s="103">
        <f t="shared" si="0"/>
        <v>3.96</v>
      </c>
      <c r="E21" s="103">
        <f t="shared" si="0"/>
        <v>7.92</v>
      </c>
      <c r="F21" s="103">
        <f t="shared" si="0"/>
        <v>9.9</v>
      </c>
      <c r="G21" s="103">
        <f t="shared" si="0"/>
        <v>15.84</v>
      </c>
      <c r="H21" s="103">
        <f t="shared" si="0"/>
        <v>23.759999999999998</v>
      </c>
      <c r="I21" s="103">
        <f t="shared" si="0"/>
        <v>19.8</v>
      </c>
      <c r="J21" s="103">
        <f t="shared" si="0"/>
        <v>27.720000000000002</v>
      </c>
      <c r="K21" s="103">
        <f t="shared" si="0"/>
        <v>25.740000000000002</v>
      </c>
      <c r="L21" s="103">
        <f t="shared" si="0"/>
        <v>31.68</v>
      </c>
      <c r="M21" s="103">
        <f t="shared" si="0"/>
        <v>29.7</v>
      </c>
      <c r="N21" s="103">
        <f>SUM(B21:M21)</f>
        <v>198</v>
      </c>
    </row>
    <row r="22" spans="1:14" x14ac:dyDescent="0.3">
      <c r="A22" s="74" t="s">
        <v>78</v>
      </c>
      <c r="B22" s="99">
        <f>IFERROR(B21*$L$11,0)</f>
        <v>0</v>
      </c>
      <c r="C22" s="99">
        <f t="shared" ref="C22:N22" si="1">IFERROR(C21*$L$11,0)</f>
        <v>23760</v>
      </c>
      <c r="D22" s="99">
        <f t="shared" si="1"/>
        <v>47520</v>
      </c>
      <c r="E22" s="99">
        <f t="shared" si="1"/>
        <v>95040</v>
      </c>
      <c r="F22" s="99">
        <f t="shared" si="1"/>
        <v>118800</v>
      </c>
      <c r="G22" s="99">
        <f t="shared" si="1"/>
        <v>190080</v>
      </c>
      <c r="H22" s="99">
        <f t="shared" si="1"/>
        <v>285120</v>
      </c>
      <c r="I22" s="99">
        <f t="shared" si="1"/>
        <v>237600</v>
      </c>
      <c r="J22" s="99">
        <f t="shared" si="1"/>
        <v>332640</v>
      </c>
      <c r="K22" s="99">
        <f t="shared" si="1"/>
        <v>308880</v>
      </c>
      <c r="L22" s="99">
        <f t="shared" si="1"/>
        <v>380160</v>
      </c>
      <c r="M22" s="99">
        <f t="shared" si="1"/>
        <v>356400</v>
      </c>
      <c r="N22" s="99">
        <f t="shared" si="1"/>
        <v>2376000</v>
      </c>
    </row>
    <row r="23" spans="1:14" x14ac:dyDescent="0.3">
      <c r="B23" s="74">
        <v>15</v>
      </c>
      <c r="C23" s="74">
        <v>15</v>
      </c>
      <c r="D23" s="74">
        <v>15</v>
      </c>
      <c r="E23" s="74">
        <v>15</v>
      </c>
      <c r="F23" s="74">
        <v>15</v>
      </c>
      <c r="G23" s="74">
        <v>15</v>
      </c>
      <c r="H23" s="74">
        <v>15</v>
      </c>
      <c r="I23" s="74">
        <v>15</v>
      </c>
      <c r="J23" s="74">
        <v>15</v>
      </c>
      <c r="K23" s="74">
        <v>15</v>
      </c>
      <c r="L23" s="74">
        <v>15</v>
      </c>
      <c r="M23" s="74">
        <v>15</v>
      </c>
    </row>
    <row r="28" spans="1:14" x14ac:dyDescent="0.3">
      <c r="B28" s="104">
        <f>E8</f>
        <v>290</v>
      </c>
    </row>
    <row r="29" spans="1:14" x14ac:dyDescent="0.3">
      <c r="B29" s="141" t="s">
        <v>37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</row>
    <row r="30" spans="1:14" x14ac:dyDescent="0.3">
      <c r="B30" s="102">
        <v>0.08</v>
      </c>
      <c r="C30" s="102">
        <v>0.09</v>
      </c>
      <c r="D30" s="102">
        <v>0.06</v>
      </c>
      <c r="E30" s="102">
        <v>7.0000000000000007E-2</v>
      </c>
      <c r="F30" s="102">
        <v>0.06</v>
      </c>
      <c r="G30" s="102">
        <v>7.0000000000000007E-2</v>
      </c>
      <c r="H30" s="102">
        <v>0.06</v>
      </c>
      <c r="I30" s="102">
        <v>0.09</v>
      </c>
      <c r="J30" s="102">
        <v>0.08</v>
      </c>
      <c r="K30" s="102">
        <v>0.1</v>
      </c>
      <c r="L30" s="102">
        <v>0.12</v>
      </c>
      <c r="M30" s="102">
        <v>0.12</v>
      </c>
      <c r="N30" s="102">
        <f>SUM(B30:M30)</f>
        <v>0.99999999999999989</v>
      </c>
    </row>
    <row r="31" spans="1:14" x14ac:dyDescent="0.3">
      <c r="B31" s="142" t="s">
        <v>54</v>
      </c>
      <c r="C31" s="142" t="s">
        <v>55</v>
      </c>
      <c r="D31" s="142" t="s">
        <v>56</v>
      </c>
      <c r="E31" s="142" t="s">
        <v>57</v>
      </c>
      <c r="F31" s="142" t="s">
        <v>58</v>
      </c>
      <c r="G31" s="142" t="s">
        <v>59</v>
      </c>
      <c r="H31" s="142" t="s">
        <v>60</v>
      </c>
      <c r="I31" s="142" t="s">
        <v>61</v>
      </c>
      <c r="J31" s="142" t="s">
        <v>62</v>
      </c>
      <c r="K31" s="142" t="s">
        <v>63</v>
      </c>
      <c r="L31" s="142" t="s">
        <v>64</v>
      </c>
      <c r="M31" s="142" t="s">
        <v>65</v>
      </c>
      <c r="N31" s="142"/>
    </row>
    <row r="32" spans="1:14" x14ac:dyDescent="0.3">
      <c r="A32" s="74" t="s">
        <v>79</v>
      </c>
      <c r="B32" s="103">
        <f>$B$28*B30</f>
        <v>23.2</v>
      </c>
      <c r="C32" s="103">
        <f t="shared" ref="C32:M32" si="2">$B$28*C30</f>
        <v>26.099999999999998</v>
      </c>
      <c r="D32" s="103">
        <f t="shared" si="2"/>
        <v>17.399999999999999</v>
      </c>
      <c r="E32" s="103">
        <f t="shared" si="2"/>
        <v>20.3</v>
      </c>
      <c r="F32" s="103">
        <f t="shared" si="2"/>
        <v>17.399999999999999</v>
      </c>
      <c r="G32" s="103">
        <f t="shared" si="2"/>
        <v>20.3</v>
      </c>
      <c r="H32" s="103">
        <f t="shared" si="2"/>
        <v>17.399999999999999</v>
      </c>
      <c r="I32" s="103">
        <f t="shared" si="2"/>
        <v>26.099999999999998</v>
      </c>
      <c r="J32" s="103">
        <f t="shared" si="2"/>
        <v>23.2</v>
      </c>
      <c r="K32" s="103">
        <f t="shared" si="2"/>
        <v>29</v>
      </c>
      <c r="L32" s="103">
        <f t="shared" si="2"/>
        <v>34.799999999999997</v>
      </c>
      <c r="M32" s="103">
        <f t="shared" si="2"/>
        <v>34.799999999999997</v>
      </c>
      <c r="N32" s="103">
        <f>SUM(B32:M32)</f>
        <v>289.99999999999994</v>
      </c>
    </row>
    <row r="33" spans="1:14" x14ac:dyDescent="0.3">
      <c r="A33" s="74" t="s">
        <v>78</v>
      </c>
      <c r="B33" s="99">
        <f t="shared" ref="B33:C33" si="3">IFERROR(B32*$L$11,0)</f>
        <v>278400</v>
      </c>
      <c r="C33" s="99">
        <f t="shared" si="3"/>
        <v>313200</v>
      </c>
      <c r="D33" s="99">
        <f t="shared" ref="D33" si="4">IFERROR(D32*$L$11,0)</f>
        <v>208799.99999999997</v>
      </c>
      <c r="E33" s="99">
        <f t="shared" ref="E33" si="5">IFERROR(E32*$L$11,0)</f>
        <v>243600</v>
      </c>
      <c r="F33" s="99">
        <f t="shared" ref="F33" si="6">IFERROR(F32*$L$11,0)</f>
        <v>208799.99999999997</v>
      </c>
      <c r="G33" s="99">
        <f t="shared" ref="G33" si="7">IFERROR(G32*$L$11,0)</f>
        <v>243600</v>
      </c>
      <c r="H33" s="99">
        <f t="shared" ref="H33" si="8">IFERROR(H32*$L$11,0)</f>
        <v>208799.99999999997</v>
      </c>
      <c r="I33" s="99">
        <f t="shared" ref="I33" si="9">IFERROR(I32*$L$11,0)</f>
        <v>313200</v>
      </c>
      <c r="J33" s="99">
        <f t="shared" ref="J33" si="10">IFERROR(J32*$L$11,0)</f>
        <v>278400</v>
      </c>
      <c r="K33" s="99">
        <f t="shared" ref="K33" si="11">IFERROR(K32*$L$11,0)</f>
        <v>348000</v>
      </c>
      <c r="L33" s="99">
        <f t="shared" ref="L33" si="12">IFERROR(L32*$L$11,0)</f>
        <v>417599.99999999994</v>
      </c>
      <c r="M33" s="99">
        <f t="shared" ref="M33" si="13">IFERROR(M32*$L$11,0)</f>
        <v>417599.99999999994</v>
      </c>
      <c r="N33" s="99">
        <f t="shared" ref="N33" si="14">IFERROR(N32*$L$11,0)</f>
        <v>3479999.9999999995</v>
      </c>
    </row>
    <row r="34" spans="1:14" x14ac:dyDescent="0.3">
      <c r="B34" s="74">
        <v>15</v>
      </c>
      <c r="C34" s="74">
        <v>15</v>
      </c>
      <c r="D34" s="74">
        <v>15</v>
      </c>
      <c r="E34" s="74">
        <v>15</v>
      </c>
      <c r="F34" s="74">
        <v>15</v>
      </c>
      <c r="G34" s="74">
        <v>15</v>
      </c>
      <c r="H34" s="74">
        <v>15</v>
      </c>
      <c r="I34" s="74">
        <v>15</v>
      </c>
      <c r="J34" s="74">
        <v>15</v>
      </c>
      <c r="K34" s="74">
        <v>15</v>
      </c>
      <c r="L34" s="74">
        <v>15</v>
      </c>
      <c r="M34" s="74">
        <v>15</v>
      </c>
    </row>
    <row r="40" spans="1:14" x14ac:dyDescent="0.3">
      <c r="B40" s="104">
        <f>G9</f>
        <v>393</v>
      </c>
    </row>
    <row r="41" spans="1:14" x14ac:dyDescent="0.3">
      <c r="B41" s="141" t="s">
        <v>38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</row>
    <row r="42" spans="1:14" x14ac:dyDescent="0.3">
      <c r="B42" s="102">
        <v>0.08</v>
      </c>
      <c r="C42" s="102">
        <v>7.0000000000000007E-2</v>
      </c>
      <c r="D42" s="102">
        <v>0.06</v>
      </c>
      <c r="E42" s="102">
        <v>0.09</v>
      </c>
      <c r="F42" s="102">
        <v>0.08</v>
      </c>
      <c r="G42" s="102">
        <v>7.4999999999999997E-2</v>
      </c>
      <c r="H42" s="102">
        <v>7.0000000000000007E-2</v>
      </c>
      <c r="I42" s="102">
        <v>0.08</v>
      </c>
      <c r="J42" s="102">
        <v>0.08</v>
      </c>
      <c r="K42" s="102">
        <v>0.09</v>
      </c>
      <c r="L42" s="102">
        <v>0.11</v>
      </c>
      <c r="M42" s="102">
        <v>0.115</v>
      </c>
      <c r="N42" s="102">
        <f>SUM(B42:M42)</f>
        <v>1</v>
      </c>
    </row>
    <row r="43" spans="1:14" x14ac:dyDescent="0.3">
      <c r="B43" s="142" t="s">
        <v>66</v>
      </c>
      <c r="C43" s="142" t="s">
        <v>67</v>
      </c>
      <c r="D43" s="142" t="s">
        <v>68</v>
      </c>
      <c r="E43" s="142" t="s">
        <v>69</v>
      </c>
      <c r="F43" s="142" t="s">
        <v>70</v>
      </c>
      <c r="G43" s="142" t="s">
        <v>71</v>
      </c>
      <c r="H43" s="142" t="s">
        <v>72</v>
      </c>
      <c r="I43" s="142" t="s">
        <v>73</v>
      </c>
      <c r="J43" s="142" t="s">
        <v>74</v>
      </c>
      <c r="K43" s="142" t="s">
        <v>75</v>
      </c>
      <c r="L43" s="142" t="s">
        <v>76</v>
      </c>
      <c r="M43" s="142" t="s">
        <v>77</v>
      </c>
      <c r="N43" s="142"/>
    </row>
    <row r="44" spans="1:14" x14ac:dyDescent="0.3">
      <c r="A44" s="74" t="s">
        <v>79</v>
      </c>
      <c r="B44" s="103">
        <f>$B$40*B42</f>
        <v>31.44</v>
      </c>
      <c r="C44" s="103">
        <f t="shared" ref="C44:M44" si="15">$B$40*C42</f>
        <v>27.51</v>
      </c>
      <c r="D44" s="103">
        <f t="shared" si="15"/>
        <v>23.58</v>
      </c>
      <c r="E44" s="103">
        <f t="shared" si="15"/>
        <v>35.369999999999997</v>
      </c>
      <c r="F44" s="103">
        <f t="shared" si="15"/>
        <v>31.44</v>
      </c>
      <c r="G44" s="103">
        <f t="shared" si="15"/>
        <v>29.474999999999998</v>
      </c>
      <c r="H44" s="103">
        <f t="shared" si="15"/>
        <v>27.51</v>
      </c>
      <c r="I44" s="103">
        <f t="shared" si="15"/>
        <v>31.44</v>
      </c>
      <c r="J44" s="103">
        <f t="shared" si="15"/>
        <v>31.44</v>
      </c>
      <c r="K44" s="103">
        <f t="shared" si="15"/>
        <v>35.369999999999997</v>
      </c>
      <c r="L44" s="103">
        <f t="shared" si="15"/>
        <v>43.23</v>
      </c>
      <c r="M44" s="103">
        <f t="shared" si="15"/>
        <v>45.195</v>
      </c>
      <c r="N44" s="103">
        <f>SUM(B44:M44)</f>
        <v>393</v>
      </c>
    </row>
    <row r="45" spans="1:14" x14ac:dyDescent="0.3">
      <c r="A45" s="74" t="s">
        <v>78</v>
      </c>
      <c r="B45" s="99">
        <f t="shared" ref="B45:N45" si="16">IFERROR(B44*$L$11,0)</f>
        <v>377280</v>
      </c>
      <c r="C45" s="99">
        <f t="shared" si="16"/>
        <v>330120</v>
      </c>
      <c r="D45" s="99">
        <f t="shared" si="16"/>
        <v>282960</v>
      </c>
      <c r="E45" s="99">
        <f t="shared" si="16"/>
        <v>424439.99999999994</v>
      </c>
      <c r="F45" s="99">
        <f t="shared" si="16"/>
        <v>377280</v>
      </c>
      <c r="G45" s="99">
        <f t="shared" si="16"/>
        <v>353700</v>
      </c>
      <c r="H45" s="99">
        <f t="shared" si="16"/>
        <v>330120</v>
      </c>
      <c r="I45" s="99">
        <f t="shared" si="16"/>
        <v>377280</v>
      </c>
      <c r="J45" s="99">
        <f t="shared" si="16"/>
        <v>377280</v>
      </c>
      <c r="K45" s="99">
        <f t="shared" si="16"/>
        <v>424439.99999999994</v>
      </c>
      <c r="L45" s="99">
        <f t="shared" si="16"/>
        <v>518759.99999999994</v>
      </c>
      <c r="M45" s="99">
        <f t="shared" si="16"/>
        <v>542340</v>
      </c>
      <c r="N45" s="99">
        <f t="shared" si="16"/>
        <v>4716000</v>
      </c>
    </row>
    <row r="46" spans="1:14" x14ac:dyDescent="0.3">
      <c r="B46" s="74">
        <v>15</v>
      </c>
      <c r="C46" s="74">
        <v>15</v>
      </c>
      <c r="D46" s="74">
        <v>15</v>
      </c>
      <c r="E46" s="74">
        <v>15</v>
      </c>
      <c r="F46" s="74">
        <v>15</v>
      </c>
      <c r="G46" s="74">
        <v>15</v>
      </c>
      <c r="H46" s="74">
        <v>15</v>
      </c>
      <c r="I46" s="74">
        <v>15</v>
      </c>
      <c r="J46" s="74">
        <v>15</v>
      </c>
      <c r="K46" s="74">
        <v>15</v>
      </c>
      <c r="L46" s="74">
        <v>15</v>
      </c>
      <c r="M46" s="74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="90" zoomScaleNormal="90" workbookViewId="0">
      <selection activeCell="A19" sqref="A19:F39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5" t="s">
        <v>166</v>
      </c>
    </row>
    <row r="2" spans="1:12" ht="15.75" thickBot="1" x14ac:dyDescent="0.3"/>
    <row r="3" spans="1:12" x14ac:dyDescent="0.25">
      <c r="B3" s="193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94"/>
      <c r="C4" s="119" t="s">
        <v>10</v>
      </c>
      <c r="D4" s="120" t="s">
        <v>4</v>
      </c>
      <c r="E4" s="121">
        <v>2600</v>
      </c>
      <c r="K4" s="28"/>
    </row>
    <row r="5" spans="1:12" x14ac:dyDescent="0.25">
      <c r="B5" s="194"/>
      <c r="C5" s="119" t="s">
        <v>13</v>
      </c>
      <c r="D5" s="120" t="s">
        <v>4</v>
      </c>
      <c r="E5" s="121">
        <v>11900</v>
      </c>
      <c r="K5" s="107"/>
    </row>
    <row r="6" spans="1:12" x14ac:dyDescent="0.25">
      <c r="B6" s="194"/>
      <c r="C6" s="119" t="s">
        <v>11</v>
      </c>
      <c r="D6" s="120" t="s">
        <v>4</v>
      </c>
      <c r="E6" s="121">
        <v>1900</v>
      </c>
    </row>
    <row r="7" spans="1:12" x14ac:dyDescent="0.25">
      <c r="B7" s="194"/>
      <c r="C7" s="119" t="s">
        <v>5</v>
      </c>
      <c r="D7" s="120" t="s">
        <v>4</v>
      </c>
      <c r="E7" s="121">
        <v>1400</v>
      </c>
      <c r="K7" s="25"/>
      <c r="L7" s="109"/>
    </row>
    <row r="8" spans="1:12" x14ac:dyDescent="0.25">
      <c r="B8" s="194"/>
      <c r="C8" s="119" t="s">
        <v>6</v>
      </c>
      <c r="D8" s="120" t="s">
        <v>4</v>
      </c>
      <c r="E8" s="121">
        <v>600</v>
      </c>
      <c r="G8" s="35" t="s">
        <v>172</v>
      </c>
      <c r="H8" s="35">
        <v>12000</v>
      </c>
    </row>
    <row r="9" spans="1:12" x14ac:dyDescent="0.25">
      <c r="B9" s="194"/>
      <c r="C9" s="119" t="s">
        <v>7</v>
      </c>
      <c r="D9" s="120" t="s">
        <v>4</v>
      </c>
      <c r="E9" s="121">
        <v>2300</v>
      </c>
    </row>
    <row r="10" spans="1:12" ht="15.75" thickBot="1" x14ac:dyDescent="0.3">
      <c r="B10" s="195"/>
      <c r="C10" s="122" t="s">
        <v>8</v>
      </c>
      <c r="D10" s="123" t="s">
        <v>4</v>
      </c>
      <c r="E10" s="124">
        <v>130000</v>
      </c>
    </row>
    <row r="11" spans="1:12" x14ac:dyDescent="0.25">
      <c r="B11" s="193" t="s">
        <v>22</v>
      </c>
      <c r="C11" s="119" t="s">
        <v>14</v>
      </c>
      <c r="D11" s="120" t="s">
        <v>4</v>
      </c>
      <c r="E11" s="121">
        <v>5000</v>
      </c>
    </row>
    <row r="12" spans="1:12" x14ac:dyDescent="0.25">
      <c r="B12" s="194"/>
      <c r="C12" s="119" t="s">
        <v>15</v>
      </c>
      <c r="D12" s="120" t="s">
        <v>4</v>
      </c>
      <c r="E12" s="121">
        <v>1500</v>
      </c>
    </row>
    <row r="13" spans="1:12" x14ac:dyDescent="0.25">
      <c r="B13" s="226"/>
      <c r="C13" s="122" t="s">
        <v>222</v>
      </c>
      <c r="D13" s="123" t="s">
        <v>4</v>
      </c>
      <c r="E13" s="124">
        <v>18000</v>
      </c>
    </row>
    <row r="14" spans="1:12" ht="15.75" thickBot="1" x14ac:dyDescent="0.3">
      <c r="B14" s="225"/>
      <c r="C14" s="125" t="s">
        <v>16</v>
      </c>
      <c r="D14" s="126" t="s">
        <v>4</v>
      </c>
      <c r="E14" s="127">
        <v>1800</v>
      </c>
    </row>
    <row r="15" spans="1:12" ht="15.75" thickBot="1" x14ac:dyDescent="0.3">
      <c r="C15" s="196" t="s">
        <v>9</v>
      </c>
      <c r="D15" s="197"/>
      <c r="E15" s="128">
        <f>SUM(E4:E14)</f>
        <v>177000</v>
      </c>
    </row>
    <row r="16" spans="1:12" x14ac:dyDescent="0.25">
      <c r="B16">
        <v>5</v>
      </c>
    </row>
    <row r="17" spans="1:6" x14ac:dyDescent="0.25">
      <c r="E17" s="19" t="s">
        <v>26</v>
      </c>
    </row>
    <row r="18" spans="1:6" x14ac:dyDescent="0.25">
      <c r="A18" s="25"/>
      <c r="E18">
        <v>1.05</v>
      </c>
    </row>
    <row r="19" spans="1:6" x14ac:dyDescent="0.25">
      <c r="A19" s="14"/>
      <c r="B19" s="14" t="s">
        <v>167</v>
      </c>
      <c r="C19" s="14" t="s">
        <v>24</v>
      </c>
      <c r="D19" s="14" t="s">
        <v>168</v>
      </c>
      <c r="E19" s="14" t="s">
        <v>25</v>
      </c>
      <c r="F19" s="14" t="s">
        <v>27</v>
      </c>
    </row>
    <row r="20" spans="1:6" x14ac:dyDescent="0.25">
      <c r="A20" s="190" t="s">
        <v>30</v>
      </c>
      <c r="B20" s="110">
        <v>1</v>
      </c>
      <c r="C20" s="111">
        <f>$E$15</f>
        <v>177000</v>
      </c>
      <c r="D20" s="111">
        <v>8300</v>
      </c>
      <c r="E20" s="111">
        <f>SUM(C20:D20)</f>
        <v>185300</v>
      </c>
      <c r="F20" s="112">
        <f>B20*$H$8</f>
        <v>12000</v>
      </c>
    </row>
    <row r="21" spans="1:6" x14ac:dyDescent="0.25">
      <c r="A21" s="191"/>
      <c r="B21" s="110">
        <v>2</v>
      </c>
      <c r="C21" s="111">
        <f t="shared" ref="C21:C39" si="0">$E$15</f>
        <v>177000</v>
      </c>
      <c r="D21" s="111">
        <f t="shared" ref="D21:D31" si="1">D20*$E$18</f>
        <v>8715</v>
      </c>
      <c r="E21" s="111">
        <f t="shared" ref="E21:E31" si="2">SUM(C21:D21)</f>
        <v>185715</v>
      </c>
      <c r="F21" s="112">
        <f>B21*$H$8</f>
        <v>24000</v>
      </c>
    </row>
    <row r="22" spans="1:6" x14ac:dyDescent="0.25">
      <c r="A22" s="191"/>
      <c r="B22" s="110">
        <v>3</v>
      </c>
      <c r="C22" s="111">
        <f t="shared" si="0"/>
        <v>177000</v>
      </c>
      <c r="D22" s="111">
        <f t="shared" si="1"/>
        <v>9150.75</v>
      </c>
      <c r="E22" s="111">
        <f t="shared" si="2"/>
        <v>186150.75</v>
      </c>
      <c r="F22" s="112">
        <f>B22*$H$8</f>
        <v>36000</v>
      </c>
    </row>
    <row r="23" spans="1:6" x14ac:dyDescent="0.25">
      <c r="A23" s="191"/>
      <c r="B23" s="110">
        <v>4</v>
      </c>
      <c r="C23" s="111">
        <f t="shared" si="0"/>
        <v>177000</v>
      </c>
      <c r="D23" s="111">
        <f t="shared" si="1"/>
        <v>9608.2875000000004</v>
      </c>
      <c r="E23" s="111">
        <f t="shared" si="2"/>
        <v>186608.28750000001</v>
      </c>
      <c r="F23" s="112">
        <f>B23*$H$8</f>
        <v>48000</v>
      </c>
    </row>
    <row r="24" spans="1:6" x14ac:dyDescent="0.25">
      <c r="A24" s="191"/>
      <c r="B24" s="110">
        <v>5</v>
      </c>
      <c r="C24" s="111">
        <f t="shared" si="0"/>
        <v>177000</v>
      </c>
      <c r="D24" s="111">
        <f t="shared" si="1"/>
        <v>10088.701875000001</v>
      </c>
      <c r="E24" s="111">
        <f t="shared" si="2"/>
        <v>187088.701875</v>
      </c>
      <c r="F24" s="112">
        <f>B24*$H$8</f>
        <v>60000</v>
      </c>
    </row>
    <row r="25" spans="1:6" x14ac:dyDescent="0.25">
      <c r="A25" s="191"/>
      <c r="B25" s="110">
        <v>6</v>
      </c>
      <c r="C25" s="111">
        <f t="shared" si="0"/>
        <v>177000</v>
      </c>
      <c r="D25" s="111">
        <f t="shared" si="1"/>
        <v>10593.136968750001</v>
      </c>
      <c r="E25" s="111">
        <f t="shared" si="2"/>
        <v>187593.13696875001</v>
      </c>
      <c r="F25" s="112">
        <f>B25*$H$8</f>
        <v>72000</v>
      </c>
    </row>
    <row r="26" spans="1:6" x14ac:dyDescent="0.25">
      <c r="A26" s="191"/>
      <c r="B26" s="110">
        <v>7</v>
      </c>
      <c r="C26" s="111">
        <f t="shared" si="0"/>
        <v>177000</v>
      </c>
      <c r="D26" s="111">
        <f t="shared" si="1"/>
        <v>11122.793817187501</v>
      </c>
      <c r="E26" s="111">
        <f t="shared" si="2"/>
        <v>188122.79381718751</v>
      </c>
      <c r="F26" s="112">
        <f>B26*$H$8</f>
        <v>84000</v>
      </c>
    </row>
    <row r="27" spans="1:6" x14ac:dyDescent="0.25">
      <c r="A27" s="191"/>
      <c r="B27" s="110">
        <v>8</v>
      </c>
      <c r="C27" s="111">
        <f t="shared" si="0"/>
        <v>177000</v>
      </c>
      <c r="D27" s="111">
        <f t="shared" si="1"/>
        <v>11678.933508046877</v>
      </c>
      <c r="E27" s="111">
        <f t="shared" si="2"/>
        <v>188678.93350804687</v>
      </c>
      <c r="F27" s="112">
        <f>B27*$H$8</f>
        <v>96000</v>
      </c>
    </row>
    <row r="28" spans="1:6" x14ac:dyDescent="0.25">
      <c r="A28" s="191"/>
      <c r="B28" s="110">
        <v>9</v>
      </c>
      <c r="C28" s="111">
        <f t="shared" si="0"/>
        <v>177000</v>
      </c>
      <c r="D28" s="111">
        <f t="shared" si="1"/>
        <v>12262.880183449222</v>
      </c>
      <c r="E28" s="111">
        <f t="shared" si="2"/>
        <v>189262.88018344922</v>
      </c>
      <c r="F28" s="112">
        <f>B28*$H$8</f>
        <v>108000</v>
      </c>
    </row>
    <row r="29" spans="1:6" x14ac:dyDescent="0.25">
      <c r="A29" s="191"/>
      <c r="B29" s="110">
        <v>10</v>
      </c>
      <c r="C29" s="111">
        <f t="shared" si="0"/>
        <v>177000</v>
      </c>
      <c r="D29" s="111">
        <f t="shared" si="1"/>
        <v>12876.024192621684</v>
      </c>
      <c r="E29" s="111">
        <f t="shared" si="2"/>
        <v>189876.0241926217</v>
      </c>
      <c r="F29" s="112">
        <f>B29*$H$8</f>
        <v>120000</v>
      </c>
    </row>
    <row r="30" spans="1:6" x14ac:dyDescent="0.25">
      <c r="A30" s="191"/>
      <c r="B30" s="110">
        <v>11</v>
      </c>
      <c r="C30" s="111">
        <f t="shared" si="0"/>
        <v>177000</v>
      </c>
      <c r="D30" s="111">
        <f t="shared" si="1"/>
        <v>13519.825402252769</v>
      </c>
      <c r="E30" s="111">
        <f t="shared" si="2"/>
        <v>190519.82540225278</v>
      </c>
      <c r="F30" s="112">
        <f>B30*$H$8</f>
        <v>132000</v>
      </c>
    </row>
    <row r="31" spans="1:6" ht="15" customHeight="1" x14ac:dyDescent="0.25">
      <c r="A31" s="191"/>
      <c r="B31" s="113">
        <v>12</v>
      </c>
      <c r="C31" s="114">
        <f t="shared" si="0"/>
        <v>177000</v>
      </c>
      <c r="D31" s="114">
        <f t="shared" si="1"/>
        <v>14195.816672365409</v>
      </c>
      <c r="E31" s="114">
        <f t="shared" si="2"/>
        <v>191195.81667236541</v>
      </c>
      <c r="F31" s="115">
        <f>B31*$H$8</f>
        <v>144000</v>
      </c>
    </row>
    <row r="32" spans="1:6" x14ac:dyDescent="0.25">
      <c r="A32" s="191"/>
      <c r="B32" s="110">
        <v>13</v>
      </c>
      <c r="C32" s="111">
        <f t="shared" si="0"/>
        <v>177000</v>
      </c>
      <c r="D32" s="111">
        <f t="shared" ref="D32:D37" si="3">D31*$E$18</f>
        <v>14905.60750598368</v>
      </c>
      <c r="E32" s="111">
        <f t="shared" ref="E32:E37" si="4">SUM(C32:D32)</f>
        <v>191905.60750598367</v>
      </c>
      <c r="F32" s="112">
        <f>B32*$H$8</f>
        <v>156000</v>
      </c>
    </row>
    <row r="33" spans="1:6" x14ac:dyDescent="0.25">
      <c r="A33" s="192"/>
      <c r="B33" s="110">
        <v>14</v>
      </c>
      <c r="C33" s="111">
        <f t="shared" si="0"/>
        <v>177000</v>
      </c>
      <c r="D33" s="111">
        <f t="shared" si="3"/>
        <v>15650.887881282864</v>
      </c>
      <c r="E33" s="111">
        <f t="shared" si="4"/>
        <v>192650.88788128286</v>
      </c>
      <c r="F33" s="112">
        <f>B33*$H$8</f>
        <v>168000</v>
      </c>
    </row>
    <row r="34" spans="1:6" x14ac:dyDescent="0.25">
      <c r="A34" s="108" t="s">
        <v>28</v>
      </c>
      <c r="B34" s="222">
        <v>15</v>
      </c>
      <c r="C34" s="223">
        <f t="shared" si="0"/>
        <v>177000</v>
      </c>
      <c r="D34" s="223">
        <f t="shared" si="3"/>
        <v>16433.432275347008</v>
      </c>
      <c r="E34" s="223">
        <f t="shared" si="4"/>
        <v>193433.432275347</v>
      </c>
      <c r="F34" s="224">
        <f>B34*$H$8</f>
        <v>180000</v>
      </c>
    </row>
    <row r="35" spans="1:6" x14ac:dyDescent="0.25">
      <c r="A35" s="187" t="s">
        <v>29</v>
      </c>
      <c r="B35" s="219">
        <v>16</v>
      </c>
      <c r="C35" s="220">
        <f t="shared" si="0"/>
        <v>177000</v>
      </c>
      <c r="D35" s="220">
        <f t="shared" si="3"/>
        <v>17255.103889114358</v>
      </c>
      <c r="E35" s="220">
        <f t="shared" si="4"/>
        <v>194255.10388911437</v>
      </c>
      <c r="F35" s="221">
        <f>B35*$H$8</f>
        <v>192000</v>
      </c>
    </row>
    <row r="36" spans="1:6" x14ac:dyDescent="0.25">
      <c r="A36" s="188"/>
      <c r="B36" s="116">
        <v>17</v>
      </c>
      <c r="C36" s="117">
        <f t="shared" si="0"/>
        <v>177000</v>
      </c>
      <c r="D36" s="117">
        <f t="shared" si="3"/>
        <v>18117.859083570078</v>
      </c>
      <c r="E36" s="117">
        <f t="shared" si="4"/>
        <v>195117.85908357007</v>
      </c>
      <c r="F36" s="118">
        <f>B36*$H$8</f>
        <v>204000</v>
      </c>
    </row>
    <row r="37" spans="1:6" x14ac:dyDescent="0.25">
      <c r="A37" s="188"/>
      <c r="B37" s="116">
        <v>18</v>
      </c>
      <c r="C37" s="117">
        <f t="shared" si="0"/>
        <v>177000</v>
      </c>
      <c r="D37" s="117">
        <f t="shared" si="3"/>
        <v>19023.752037748582</v>
      </c>
      <c r="E37" s="117">
        <f t="shared" si="4"/>
        <v>196023.75203774858</v>
      </c>
      <c r="F37" s="118">
        <f>B37*$H$8</f>
        <v>216000</v>
      </c>
    </row>
    <row r="38" spans="1:6" x14ac:dyDescent="0.25">
      <c r="A38" s="188"/>
      <c r="B38" s="116">
        <v>19</v>
      </c>
      <c r="C38" s="117">
        <f t="shared" si="0"/>
        <v>177000</v>
      </c>
      <c r="D38" s="117">
        <f t="shared" ref="D38:D39" si="5">D37*$E$18</f>
        <v>19974.93963963601</v>
      </c>
      <c r="E38" s="117">
        <f t="shared" ref="E38:E39" si="6">SUM(C38:D38)</f>
        <v>196974.93963963602</v>
      </c>
      <c r="F38" s="118">
        <f>B38*$H$8</f>
        <v>228000</v>
      </c>
    </row>
    <row r="39" spans="1:6" x14ac:dyDescent="0.25">
      <c r="A39" s="189"/>
      <c r="B39" s="116">
        <v>20</v>
      </c>
      <c r="C39" s="117">
        <f t="shared" si="0"/>
        <v>177000</v>
      </c>
      <c r="D39" s="117">
        <f t="shared" si="5"/>
        <v>20973.68662161781</v>
      </c>
      <c r="E39" s="117">
        <f t="shared" si="6"/>
        <v>197973.68662161782</v>
      </c>
      <c r="F39" s="118">
        <f>B39*$H$8</f>
        <v>240000</v>
      </c>
    </row>
  </sheetData>
  <mergeCells count="5">
    <mergeCell ref="A35:A39"/>
    <mergeCell ref="A20:A33"/>
    <mergeCell ref="B3:B10"/>
    <mergeCell ref="B11:B13"/>
    <mergeCell ref="C15:D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Normal="100" workbookViewId="0">
      <selection activeCell="A22" sqref="A22:B24"/>
    </sheetView>
  </sheetViews>
  <sheetFormatPr defaultColWidth="11.42578125" defaultRowHeight="12.75" x14ac:dyDescent="0.2"/>
  <cols>
    <col min="1" max="1" width="27" style="26" bestFit="1" customWidth="1"/>
    <col min="2" max="2" width="17.140625" style="26" bestFit="1" customWidth="1"/>
    <col min="3" max="5" width="16.85546875" style="26" bestFit="1" customWidth="1"/>
    <col min="6" max="6" width="15.140625" style="26" bestFit="1" customWidth="1"/>
    <col min="7" max="7" width="17.42578125" style="26" bestFit="1" customWidth="1"/>
    <col min="8" max="9" width="12.7109375" style="26" bestFit="1" customWidth="1"/>
    <col min="10" max="10" width="13.5703125" style="26" bestFit="1" customWidth="1"/>
    <col min="11" max="256" width="9.140625" style="26" customWidth="1"/>
    <col min="257" max="16384" width="11.42578125" style="26"/>
  </cols>
  <sheetData>
    <row r="1" spans="1:10" x14ac:dyDescent="0.2">
      <c r="A1" s="49" t="s">
        <v>95</v>
      </c>
      <c r="B1" s="49"/>
      <c r="C1" s="49"/>
      <c r="D1" s="49"/>
    </row>
    <row r="2" spans="1:10" s="43" customFormat="1" ht="15.75" x14ac:dyDescent="0.25">
      <c r="A2" s="50"/>
      <c r="B2" s="51"/>
      <c r="C2" s="52" t="s">
        <v>104</v>
      </c>
      <c r="D2" s="52" t="s">
        <v>104</v>
      </c>
      <c r="E2" s="52" t="s">
        <v>104</v>
      </c>
      <c r="G2" s="149"/>
      <c r="H2" s="150" t="s">
        <v>104</v>
      </c>
      <c r="I2" s="150" t="s">
        <v>104</v>
      </c>
      <c r="J2" s="150" t="s">
        <v>104</v>
      </c>
    </row>
    <row r="3" spans="1:10" s="43" customFormat="1" ht="15.75" x14ac:dyDescent="0.25">
      <c r="A3" s="159"/>
      <c r="B3" s="148" t="s">
        <v>94</v>
      </c>
      <c r="C3" s="148" t="s">
        <v>93</v>
      </c>
      <c r="D3" s="148" t="s">
        <v>92</v>
      </c>
      <c r="E3" s="148" t="s">
        <v>91</v>
      </c>
      <c r="G3" s="149"/>
      <c r="H3" s="151" t="s">
        <v>93</v>
      </c>
      <c r="I3" s="151" t="s">
        <v>92</v>
      </c>
      <c r="J3" s="151" t="s">
        <v>91</v>
      </c>
    </row>
    <row r="4" spans="1:10" x14ac:dyDescent="0.2">
      <c r="A4" s="53" t="s">
        <v>90</v>
      </c>
      <c r="B4" s="53"/>
      <c r="C4" s="53"/>
      <c r="D4" s="53"/>
      <c r="E4" s="53"/>
      <c r="G4" s="152" t="s">
        <v>164</v>
      </c>
      <c r="H4" s="153">
        <f>C15*-1</f>
        <v>46472.387499999997</v>
      </c>
      <c r="I4" s="153">
        <f t="shared" ref="I4:J4" si="0">D15*-1</f>
        <v>256807.53901515147</v>
      </c>
      <c r="J4" s="153">
        <f t="shared" si="0"/>
        <v>332570.02386363642</v>
      </c>
    </row>
    <row r="5" spans="1:10" x14ac:dyDescent="0.2">
      <c r="A5" s="54" t="s">
        <v>89</v>
      </c>
      <c r="B5" s="55">
        <v>0</v>
      </c>
      <c r="C5" s="56">
        <f>Mensual!D11</f>
        <v>2376000</v>
      </c>
      <c r="D5" s="56">
        <f>Mensual!F11</f>
        <v>3480000</v>
      </c>
      <c r="E5" s="56">
        <f>Mensual!H11</f>
        <v>4716000</v>
      </c>
    </row>
    <row r="6" spans="1:10" x14ac:dyDescent="0.2">
      <c r="A6" s="53"/>
      <c r="B6" s="57">
        <f>SUM(B5:B5)</f>
        <v>0</v>
      </c>
      <c r="C6" s="57">
        <f>Mensual!D11</f>
        <v>2376000</v>
      </c>
      <c r="D6" s="57">
        <f>Mensual!F11</f>
        <v>3480000</v>
      </c>
      <c r="E6" s="57">
        <f>Mensual!H11</f>
        <v>4716000</v>
      </c>
      <c r="H6" s="53"/>
    </row>
    <row r="7" spans="1:10" x14ac:dyDescent="0.2">
      <c r="A7" s="53" t="s">
        <v>88</v>
      </c>
      <c r="B7" s="58"/>
      <c r="C7" s="59"/>
      <c r="D7" s="59"/>
      <c r="E7" s="59"/>
    </row>
    <row r="8" spans="1:10" ht="15.75" x14ac:dyDescent="0.25">
      <c r="A8" s="54" t="s">
        <v>22</v>
      </c>
      <c r="B8" s="55">
        <v>0</v>
      </c>
      <c r="C8" s="60">
        <f>-Costos!G8</f>
        <v>-315600</v>
      </c>
      <c r="D8" s="60">
        <f>-Costos!G20</f>
        <v>-462242.42424242425</v>
      </c>
      <c r="E8" s="60">
        <f>-Costos!G32</f>
        <v>-626418.18181818188</v>
      </c>
      <c r="G8" s="149"/>
      <c r="H8" s="154" t="s">
        <v>104</v>
      </c>
      <c r="I8" s="154" t="s">
        <v>104</v>
      </c>
      <c r="J8" s="154" t="s">
        <v>104</v>
      </c>
    </row>
    <row r="9" spans="1:10" ht="15.75" x14ac:dyDescent="0.25">
      <c r="A9" s="54" t="s">
        <v>0</v>
      </c>
      <c r="B9" s="55">
        <v>0</v>
      </c>
      <c r="C9" s="61">
        <f>-Costos!C11</f>
        <v>-1782000</v>
      </c>
      <c r="D9" s="60">
        <f>C9*1.2</f>
        <v>-2138400</v>
      </c>
      <c r="E9" s="60">
        <f>D9*1.4</f>
        <v>-2993760</v>
      </c>
      <c r="G9" s="149"/>
      <c r="H9" s="151" t="s">
        <v>93</v>
      </c>
      <c r="I9" s="151" t="s">
        <v>92</v>
      </c>
      <c r="J9" s="151" t="s">
        <v>91</v>
      </c>
    </row>
    <row r="10" spans="1:10" x14ac:dyDescent="0.2">
      <c r="A10" s="54" t="s">
        <v>84</v>
      </c>
      <c r="B10" s="55"/>
      <c r="C10" s="61">
        <f>-Inversion!H19</f>
        <v>-145621.75</v>
      </c>
      <c r="D10" s="60">
        <f>-Inversion!I19</f>
        <v>-145621.75</v>
      </c>
      <c r="E10" s="60">
        <f>-Inversion!J19</f>
        <v>-145621.75</v>
      </c>
      <c r="G10" s="152" t="s">
        <v>165</v>
      </c>
      <c r="H10" s="153">
        <f>C5*0.03</f>
        <v>71280</v>
      </c>
      <c r="I10" s="153">
        <f t="shared" ref="I10:J10" si="1">D5*0.03</f>
        <v>104400</v>
      </c>
      <c r="J10" s="153">
        <f t="shared" si="1"/>
        <v>141480</v>
      </c>
    </row>
    <row r="11" spans="1:10" x14ac:dyDescent="0.2">
      <c r="A11" s="53"/>
      <c r="B11" s="62">
        <f>SUM(B8:B10)</f>
        <v>0</v>
      </c>
      <c r="C11" s="62">
        <f>SUM(C8:C10)</f>
        <v>-2243221.75</v>
      </c>
      <c r="D11" s="62">
        <f>SUM(D8:D10)</f>
        <v>-2746264.1742424243</v>
      </c>
      <c r="E11" s="62">
        <f>SUM(E8:E10)</f>
        <v>-3765799.9318181816</v>
      </c>
    </row>
    <row r="12" spans="1:10" x14ac:dyDescent="0.2">
      <c r="A12" s="53"/>
      <c r="B12" s="53"/>
      <c r="C12" s="63"/>
      <c r="D12" s="63"/>
      <c r="E12" s="63"/>
    </row>
    <row r="13" spans="1:10" ht="13.5" thickBot="1" x14ac:dyDescent="0.25">
      <c r="A13" s="53" t="s">
        <v>87</v>
      </c>
      <c r="B13" s="64">
        <f>+B6+B11</f>
        <v>0</v>
      </c>
      <c r="C13" s="64">
        <f>+C6+C11</f>
        <v>132778.25</v>
      </c>
      <c r="D13" s="64">
        <f>+D6+D11</f>
        <v>733735.82575757569</v>
      </c>
      <c r="E13" s="64">
        <f>+E6+E11</f>
        <v>950200.06818181835</v>
      </c>
    </row>
    <row r="14" spans="1:10" ht="13.5" thickTop="1" x14ac:dyDescent="0.2">
      <c r="A14" s="53"/>
      <c r="B14" s="53"/>
      <c r="C14" s="65"/>
      <c r="D14" s="65"/>
      <c r="E14" s="65"/>
    </row>
    <row r="15" spans="1:10" x14ac:dyDescent="0.2">
      <c r="A15" s="53" t="s">
        <v>86</v>
      </c>
      <c r="B15" s="53"/>
      <c r="C15" s="65">
        <f>-C13*0.35</f>
        <v>-46472.387499999997</v>
      </c>
      <c r="D15" s="65">
        <f>-D13*0.35</f>
        <v>-256807.53901515147</v>
      </c>
      <c r="E15" s="65">
        <f>-E13*0.35</f>
        <v>-332570.02386363642</v>
      </c>
    </row>
    <row r="16" spans="1:10" x14ac:dyDescent="0.2">
      <c r="A16" s="53"/>
      <c r="B16" s="53"/>
      <c r="C16" s="65"/>
      <c r="D16" s="65"/>
      <c r="E16" s="65"/>
    </row>
    <row r="17" spans="1:7" ht="13.5" thickBot="1" x14ac:dyDescent="0.25">
      <c r="A17" s="53" t="s">
        <v>85</v>
      </c>
      <c r="B17" s="53"/>
      <c r="C17" s="66">
        <f>C15+C13</f>
        <v>86305.862500000003</v>
      </c>
      <c r="D17" s="66">
        <f>D15+D13</f>
        <v>476928.28674242424</v>
      </c>
      <c r="E17" s="66">
        <f>E15+E13</f>
        <v>617630.04431818193</v>
      </c>
    </row>
    <row r="18" spans="1:7" ht="13.5" thickTop="1" x14ac:dyDescent="0.2">
      <c r="A18" s="53"/>
      <c r="B18" s="53"/>
      <c r="C18" s="67"/>
      <c r="D18" s="67"/>
      <c r="E18" s="67"/>
    </row>
    <row r="19" spans="1:7" x14ac:dyDescent="0.2">
      <c r="A19" s="53" t="s">
        <v>84</v>
      </c>
      <c r="B19" s="53"/>
      <c r="C19" s="65">
        <f>-C10</f>
        <v>145621.75</v>
      </c>
      <c r="D19" s="65">
        <f t="shared" ref="D19:E19" si="2">-D10</f>
        <v>145621.75</v>
      </c>
      <c r="E19" s="65">
        <f t="shared" si="2"/>
        <v>145621.75</v>
      </c>
    </row>
    <row r="20" spans="1:7" ht="13.5" thickBot="1" x14ac:dyDescent="0.25">
      <c r="A20" s="53" t="s">
        <v>83</v>
      </c>
      <c r="B20" s="68">
        <f>-Inversion!D19</f>
        <v>-578134</v>
      </c>
      <c r="C20" s="66">
        <f>SUM(C17:C19)</f>
        <v>231927.61249999999</v>
      </c>
      <c r="D20" s="66">
        <f>SUM(D17:D19)</f>
        <v>622550.03674242424</v>
      </c>
      <c r="E20" s="66">
        <f>SUM(E17:E19)</f>
        <v>763251.79431818193</v>
      </c>
    </row>
    <row r="21" spans="1:7" ht="14.25" thickTop="1" thickBot="1" x14ac:dyDescent="0.25">
      <c r="A21" s="53"/>
      <c r="B21" s="67"/>
      <c r="C21" s="67"/>
      <c r="D21" s="67"/>
      <c r="E21" s="67"/>
    </row>
    <row r="22" spans="1:7" ht="15.75" x14ac:dyDescent="0.25">
      <c r="A22" s="160" t="s">
        <v>82</v>
      </c>
      <c r="B22" s="163">
        <v>0.1885</v>
      </c>
      <c r="C22" s="65"/>
      <c r="D22" s="65"/>
      <c r="E22" s="65"/>
    </row>
    <row r="23" spans="1:7" ht="15.75" x14ac:dyDescent="0.25">
      <c r="A23" s="161" t="s">
        <v>81</v>
      </c>
      <c r="B23" s="166">
        <f>NPV(B22,C20,D20,E20)+B20</f>
        <v>512385.2142462784</v>
      </c>
    </row>
    <row r="24" spans="1:7" ht="16.5" thickBot="1" x14ac:dyDescent="0.3">
      <c r="A24" s="162" t="s">
        <v>80</v>
      </c>
      <c r="B24" s="165">
        <f>IRR(B20:E20,30)</f>
        <v>0.59511242532213249</v>
      </c>
      <c r="G24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F32" sqref="F32"/>
    </sheetView>
  </sheetViews>
  <sheetFormatPr defaultColWidth="11.42578125" defaultRowHeight="15" x14ac:dyDescent="0.25"/>
  <cols>
    <col min="1" max="1" width="23.85546875" bestFit="1" customWidth="1"/>
    <col min="2" max="2" width="11.42578125" style="33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6" bestFit="1" customWidth="1"/>
    <col min="8" max="10" width="12.5703125" style="36" bestFit="1" customWidth="1"/>
  </cols>
  <sheetData>
    <row r="1" spans="1:10" x14ac:dyDescent="0.25">
      <c r="A1" s="144" t="s">
        <v>137</v>
      </c>
      <c r="F1" s="144" t="s">
        <v>138</v>
      </c>
    </row>
    <row r="4" spans="1:10" x14ac:dyDescent="0.25">
      <c r="A4" s="143" t="s">
        <v>105</v>
      </c>
      <c r="B4" s="143" t="s">
        <v>79</v>
      </c>
      <c r="C4" s="143" t="s">
        <v>112</v>
      </c>
      <c r="D4" s="143" t="s">
        <v>9</v>
      </c>
      <c r="F4" s="143" t="s">
        <v>105</v>
      </c>
      <c r="G4" s="144" t="s">
        <v>138</v>
      </c>
      <c r="H4" s="199" t="s">
        <v>104</v>
      </c>
      <c r="I4" s="200"/>
      <c r="J4" s="201"/>
    </row>
    <row r="5" spans="1:10" x14ac:dyDescent="0.25">
      <c r="A5" s="143" t="s">
        <v>139</v>
      </c>
      <c r="B5" s="202"/>
      <c r="C5" s="203"/>
      <c r="D5" s="204"/>
      <c r="F5" s="143" t="s">
        <v>139</v>
      </c>
      <c r="G5" s="144" t="s">
        <v>145</v>
      </c>
      <c r="H5" s="37">
        <v>1</v>
      </c>
      <c r="I5" s="37">
        <v>2</v>
      </c>
      <c r="J5" s="37">
        <v>3</v>
      </c>
    </row>
    <row r="6" spans="1:10" x14ac:dyDescent="0.25">
      <c r="A6" s="14" t="s">
        <v>106</v>
      </c>
      <c r="B6" s="5">
        <v>3</v>
      </c>
      <c r="C6" s="32">
        <v>12000</v>
      </c>
      <c r="D6" s="34">
        <f>C6*B6</f>
        <v>36000</v>
      </c>
      <c r="F6" s="14" t="s">
        <v>106</v>
      </c>
      <c r="G6" s="37">
        <v>10</v>
      </c>
      <c r="H6" s="38">
        <f>D6/$G6</f>
        <v>3600</v>
      </c>
      <c r="I6" s="38">
        <f>D6/$G6</f>
        <v>3600</v>
      </c>
      <c r="J6" s="38">
        <f>D6/$G6</f>
        <v>3600</v>
      </c>
    </row>
    <row r="7" spans="1:10" x14ac:dyDescent="0.25">
      <c r="A7" s="14" t="s">
        <v>107</v>
      </c>
      <c r="B7" s="5">
        <v>10</v>
      </c>
      <c r="C7" s="32">
        <v>3000</v>
      </c>
      <c r="D7" s="34">
        <f t="shared" ref="D7:D18" si="0">C7*B7</f>
        <v>30000</v>
      </c>
      <c r="F7" s="14" t="s">
        <v>107</v>
      </c>
      <c r="G7" s="37">
        <v>10</v>
      </c>
      <c r="H7" s="38">
        <f>D7/$G7</f>
        <v>3000</v>
      </c>
      <c r="I7" s="38">
        <f>D7/$G7</f>
        <v>3000</v>
      </c>
      <c r="J7" s="38">
        <f>D7/$G7</f>
        <v>3000</v>
      </c>
    </row>
    <row r="8" spans="1:10" x14ac:dyDescent="0.25">
      <c r="A8" s="14" t="s">
        <v>113</v>
      </c>
      <c r="B8" s="5">
        <v>2</v>
      </c>
      <c r="C8" s="32">
        <v>8000</v>
      </c>
      <c r="D8" s="34">
        <f t="shared" si="0"/>
        <v>16000</v>
      </c>
      <c r="F8" s="14" t="s">
        <v>113</v>
      </c>
      <c r="G8" s="37">
        <v>10</v>
      </c>
      <c r="H8" s="38">
        <f>D8/$G8</f>
        <v>1600</v>
      </c>
      <c r="I8" s="38">
        <f>D8/$G8</f>
        <v>1600</v>
      </c>
      <c r="J8" s="38">
        <f>D8/$G8</f>
        <v>1600</v>
      </c>
    </row>
    <row r="9" spans="1:10" x14ac:dyDescent="0.25">
      <c r="A9" s="14" t="s">
        <v>109</v>
      </c>
      <c r="B9" s="5">
        <v>3</v>
      </c>
      <c r="C9" s="32">
        <v>15000</v>
      </c>
      <c r="D9" s="34">
        <f t="shared" ref="D9" si="1">C9*B9</f>
        <v>45000</v>
      </c>
      <c r="F9" s="14" t="s">
        <v>109</v>
      </c>
      <c r="G9" s="37">
        <v>10</v>
      </c>
      <c r="H9" s="38">
        <f>D9/$G9</f>
        <v>4500</v>
      </c>
      <c r="I9" s="38">
        <f>D9/$G9</f>
        <v>4500</v>
      </c>
      <c r="J9" s="38">
        <f>D9/$G9</f>
        <v>4500</v>
      </c>
    </row>
    <row r="10" spans="1:10" x14ac:dyDescent="0.25">
      <c r="A10" s="145" t="s">
        <v>140</v>
      </c>
      <c r="B10" s="205"/>
      <c r="C10" s="206"/>
      <c r="D10" s="207"/>
      <c r="F10" s="145" t="s">
        <v>140</v>
      </c>
      <c r="G10" s="144" t="s">
        <v>145</v>
      </c>
      <c r="H10" s="208"/>
      <c r="I10" s="209"/>
      <c r="J10" s="210"/>
    </row>
    <row r="11" spans="1:10" x14ac:dyDescent="0.25">
      <c r="A11" s="14" t="s">
        <v>110</v>
      </c>
      <c r="B11" s="5">
        <v>5</v>
      </c>
      <c r="C11" s="32">
        <v>30000</v>
      </c>
      <c r="D11" s="34">
        <f t="shared" si="0"/>
        <v>150000</v>
      </c>
      <c r="F11" s="14" t="s">
        <v>110</v>
      </c>
      <c r="G11" s="37">
        <v>3</v>
      </c>
      <c r="H11" s="38">
        <f>D11/$G11</f>
        <v>50000</v>
      </c>
      <c r="I11" s="38">
        <f>D11/$G11</f>
        <v>50000</v>
      </c>
      <c r="J11" s="38">
        <f>D11/$G11</f>
        <v>50000</v>
      </c>
    </row>
    <row r="12" spans="1:10" x14ac:dyDescent="0.25">
      <c r="A12" s="14" t="s">
        <v>108</v>
      </c>
      <c r="B12" s="5">
        <v>1</v>
      </c>
      <c r="C12" s="32">
        <v>5000</v>
      </c>
      <c r="D12" s="34">
        <f t="shared" si="0"/>
        <v>5000</v>
      </c>
      <c r="F12" s="14" t="s">
        <v>108</v>
      </c>
      <c r="G12" s="37">
        <v>3</v>
      </c>
      <c r="H12" s="38">
        <f>D12/$G12</f>
        <v>1666.6666666666667</v>
      </c>
      <c r="I12" s="38">
        <f>D12/$G12</f>
        <v>1666.6666666666667</v>
      </c>
      <c r="J12" s="38">
        <f>D12/$G12</f>
        <v>1666.6666666666667</v>
      </c>
    </row>
    <row r="13" spans="1:10" x14ac:dyDescent="0.25">
      <c r="A13" s="145" t="s">
        <v>111</v>
      </c>
      <c r="B13" s="205"/>
      <c r="C13" s="206"/>
      <c r="D13" s="207"/>
      <c r="F13" s="145" t="s">
        <v>111</v>
      </c>
      <c r="G13" s="144" t="s">
        <v>145</v>
      </c>
      <c r="H13" s="208"/>
      <c r="I13" s="209"/>
      <c r="J13" s="210"/>
    </row>
    <row r="14" spans="1:10" x14ac:dyDescent="0.25">
      <c r="A14" s="14" t="s">
        <v>114</v>
      </c>
      <c r="B14" s="5">
        <v>2</v>
      </c>
      <c r="C14" s="32">
        <v>15880</v>
      </c>
      <c r="D14" s="34">
        <f t="shared" si="0"/>
        <v>31760</v>
      </c>
      <c r="F14" s="14" t="s">
        <v>114</v>
      </c>
      <c r="G14" s="37">
        <v>3</v>
      </c>
      <c r="H14" s="38">
        <f>D14/$G14</f>
        <v>10586.666666666666</v>
      </c>
      <c r="I14" s="38">
        <f>D14/$G14</f>
        <v>10586.666666666666</v>
      </c>
      <c r="J14" s="38">
        <f>D14/$G14</f>
        <v>10586.666666666666</v>
      </c>
    </row>
    <row r="15" spans="1:10" x14ac:dyDescent="0.25">
      <c r="A15" s="14" t="s">
        <v>115</v>
      </c>
      <c r="B15" s="5">
        <v>2</v>
      </c>
      <c r="C15" s="32">
        <v>20283</v>
      </c>
      <c r="D15" s="34">
        <f t="shared" si="0"/>
        <v>40566</v>
      </c>
      <c r="F15" s="14" t="s">
        <v>115</v>
      </c>
      <c r="G15" s="37">
        <v>3</v>
      </c>
      <c r="H15" s="38">
        <f>D15/$G15</f>
        <v>13522</v>
      </c>
      <c r="I15" s="38">
        <f>D15/$G15</f>
        <v>13522</v>
      </c>
      <c r="J15" s="38">
        <f>D15/$G15</f>
        <v>13522</v>
      </c>
    </row>
    <row r="16" spans="1:10" x14ac:dyDescent="0.25">
      <c r="A16" s="14" t="s">
        <v>116</v>
      </c>
      <c r="B16" s="5">
        <v>1</v>
      </c>
      <c r="C16" s="32">
        <v>14333</v>
      </c>
      <c r="D16" s="34">
        <f t="shared" si="0"/>
        <v>14333</v>
      </c>
      <c r="F16" s="14" t="s">
        <v>116</v>
      </c>
      <c r="G16" s="37">
        <v>3</v>
      </c>
      <c r="H16" s="38">
        <f>D16/$G16</f>
        <v>4777.666666666667</v>
      </c>
      <c r="I16" s="38">
        <f>D16/$G16</f>
        <v>4777.666666666667</v>
      </c>
      <c r="J16" s="38">
        <f>D16/$G16</f>
        <v>4777.666666666667</v>
      </c>
    </row>
    <row r="17" spans="1:10" x14ac:dyDescent="0.25">
      <c r="A17" s="145" t="s">
        <v>141</v>
      </c>
      <c r="B17" s="205"/>
      <c r="C17" s="206"/>
      <c r="D17" s="207"/>
      <c r="F17" s="145" t="s">
        <v>141</v>
      </c>
      <c r="G17" s="144" t="s">
        <v>145</v>
      </c>
      <c r="H17" s="208"/>
      <c r="I17" s="209"/>
      <c r="J17" s="210"/>
    </row>
    <row r="18" spans="1:10" x14ac:dyDescent="0.25">
      <c r="A18" s="14" t="s">
        <v>215</v>
      </c>
      <c r="B18" s="5">
        <v>1</v>
      </c>
      <c r="C18" s="32">
        <f>'Costo de Desarrollo'!F15</f>
        <v>209475</v>
      </c>
      <c r="D18" s="34">
        <f t="shared" si="0"/>
        <v>209475</v>
      </c>
      <c r="F18" s="14" t="s">
        <v>215</v>
      </c>
      <c r="G18" s="37">
        <v>4</v>
      </c>
      <c r="H18" s="38">
        <f>D18/$G18</f>
        <v>52368.75</v>
      </c>
      <c r="I18" s="38">
        <f>D18/$G18</f>
        <v>52368.75</v>
      </c>
      <c r="J18" s="38">
        <f>D18/$G18</f>
        <v>52368.75</v>
      </c>
    </row>
    <row r="19" spans="1:10" ht="21" x14ac:dyDescent="0.35">
      <c r="A19" s="198" t="s">
        <v>137</v>
      </c>
      <c r="B19" s="198"/>
      <c r="C19" s="198"/>
      <c r="D19" s="41">
        <f>SUM(D6:D18)</f>
        <v>578134</v>
      </c>
      <c r="G19" s="39" t="s">
        <v>9</v>
      </c>
      <c r="H19" s="40">
        <f>SUM(H6:H18)</f>
        <v>145621.75</v>
      </c>
      <c r="I19" s="40">
        <f t="shared" ref="I19:J19" si="2">SUM(I6:I18)</f>
        <v>145621.75</v>
      </c>
      <c r="J19" s="40">
        <f t="shared" si="2"/>
        <v>145621.75</v>
      </c>
    </row>
    <row r="22" spans="1:10" x14ac:dyDescent="0.25">
      <c r="A22" t="s">
        <v>203</v>
      </c>
    </row>
    <row r="23" spans="1:10" x14ac:dyDescent="0.25">
      <c r="A23" s="164" t="s">
        <v>105</v>
      </c>
    </row>
    <row r="24" spans="1:10" x14ac:dyDescent="0.25">
      <c r="A24" s="164" t="s">
        <v>139</v>
      </c>
      <c r="B24" s="176" t="s">
        <v>9</v>
      </c>
      <c r="C24" s="177" t="s">
        <v>204</v>
      </c>
      <c r="D24" s="177"/>
      <c r="E24" s="177" t="s">
        <v>216</v>
      </c>
      <c r="F24" s="177" t="s">
        <v>205</v>
      </c>
    </row>
    <row r="25" spans="1:10" x14ac:dyDescent="0.25">
      <c r="A25" s="14" t="s">
        <v>106</v>
      </c>
      <c r="B25" s="175">
        <f>D6</f>
        <v>36000</v>
      </c>
      <c r="C25">
        <v>10</v>
      </c>
      <c r="E25" s="28">
        <f>H6*3</f>
        <v>10800</v>
      </c>
      <c r="F25" s="28">
        <f>B25-E25</f>
        <v>25200</v>
      </c>
    </row>
    <row r="26" spans="1:10" x14ac:dyDescent="0.25">
      <c r="A26" s="14" t="s">
        <v>107</v>
      </c>
      <c r="B26" s="175">
        <f>D7</f>
        <v>30000</v>
      </c>
      <c r="C26">
        <v>10</v>
      </c>
      <c r="E26" s="28">
        <f>H7*3</f>
        <v>9000</v>
      </c>
      <c r="F26" s="28">
        <f t="shared" ref="F26:F31" si="3">B26-E26</f>
        <v>21000</v>
      </c>
    </row>
    <row r="27" spans="1:10" x14ac:dyDescent="0.25">
      <c r="A27" s="14" t="s">
        <v>113</v>
      </c>
      <c r="B27" s="175">
        <f>D8</f>
        <v>16000</v>
      </c>
      <c r="C27">
        <v>10</v>
      </c>
      <c r="E27" s="28">
        <f>H8*3</f>
        <v>4800</v>
      </c>
      <c r="F27" s="28">
        <f t="shared" si="3"/>
        <v>11200</v>
      </c>
    </row>
    <row r="28" spans="1:10" x14ac:dyDescent="0.25">
      <c r="A28" s="14" t="s">
        <v>109</v>
      </c>
      <c r="B28" s="175">
        <f>D9</f>
        <v>45000</v>
      </c>
      <c r="C28">
        <v>10</v>
      </c>
      <c r="E28" s="28">
        <f>H9*3</f>
        <v>13500</v>
      </c>
      <c r="F28" s="28">
        <f t="shared" si="3"/>
        <v>31500</v>
      </c>
    </row>
    <row r="29" spans="1:10" x14ac:dyDescent="0.25">
      <c r="A29" s="145" t="s">
        <v>140</v>
      </c>
      <c r="F29" s="28"/>
    </row>
    <row r="30" spans="1:10" x14ac:dyDescent="0.25">
      <c r="A30" s="14" t="s">
        <v>110</v>
      </c>
      <c r="B30" s="175">
        <f>D11</f>
        <v>150000</v>
      </c>
      <c r="C30">
        <v>3</v>
      </c>
      <c r="E30" s="28">
        <f>H11*3</f>
        <v>150000</v>
      </c>
      <c r="F30" s="28">
        <f t="shared" si="3"/>
        <v>0</v>
      </c>
    </row>
    <row r="31" spans="1:10" x14ac:dyDescent="0.25">
      <c r="A31" s="14" t="s">
        <v>108</v>
      </c>
      <c r="B31" s="175">
        <f>D12</f>
        <v>5000</v>
      </c>
      <c r="C31">
        <v>3</v>
      </c>
      <c r="E31" s="28">
        <f>H12*3</f>
        <v>5000</v>
      </c>
      <c r="F31" s="28">
        <f t="shared" si="3"/>
        <v>0</v>
      </c>
    </row>
    <row r="32" spans="1:10" x14ac:dyDescent="0.25">
      <c r="E32" s="177" t="s">
        <v>9</v>
      </c>
      <c r="F32" s="178">
        <f>SUM(F25:F31)</f>
        <v>88900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5" bestFit="1" customWidth="1"/>
  </cols>
  <sheetData>
    <row r="1" spans="1:9" ht="18.75" x14ac:dyDescent="0.3">
      <c r="A1" s="75" t="s">
        <v>175</v>
      </c>
    </row>
    <row r="3" spans="1:9" x14ac:dyDescent="0.25">
      <c r="A3" s="146" t="s">
        <v>122</v>
      </c>
      <c r="B3" s="145" t="s">
        <v>129</v>
      </c>
      <c r="C3" s="145" t="s">
        <v>130</v>
      </c>
      <c r="D3" s="145" t="s">
        <v>131</v>
      </c>
      <c r="E3" s="116"/>
      <c r="F3" s="145" t="s">
        <v>134</v>
      </c>
      <c r="H3" s="25" t="s">
        <v>163</v>
      </c>
    </row>
    <row r="4" spans="1:9" x14ac:dyDescent="0.25">
      <c r="A4" s="35" t="s">
        <v>117</v>
      </c>
      <c r="B4" s="14">
        <v>20</v>
      </c>
      <c r="C4" s="14">
        <v>50</v>
      </c>
      <c r="D4" s="14">
        <v>285</v>
      </c>
      <c r="E4" s="14" t="s">
        <v>133</v>
      </c>
      <c r="F4" s="34">
        <f>D4*C4</f>
        <v>14250</v>
      </c>
      <c r="H4" s="145" t="s">
        <v>136</v>
      </c>
      <c r="I4" s="145" t="s">
        <v>135</v>
      </c>
    </row>
    <row r="5" spans="1:9" x14ac:dyDescent="0.25">
      <c r="A5" s="35" t="s">
        <v>118</v>
      </c>
      <c r="B5" s="14">
        <v>20</v>
      </c>
      <c r="C5" s="14">
        <v>50</v>
      </c>
      <c r="D5" s="14">
        <v>285</v>
      </c>
      <c r="E5" s="14" t="s">
        <v>133</v>
      </c>
      <c r="F5" s="34">
        <f t="shared" ref="F5:F14" si="0">D5*C5</f>
        <v>14250</v>
      </c>
      <c r="H5" s="145" t="s">
        <v>133</v>
      </c>
      <c r="I5" s="34">
        <v>285</v>
      </c>
    </row>
    <row r="6" spans="1:9" x14ac:dyDescent="0.25">
      <c r="A6" s="35" t="s">
        <v>119</v>
      </c>
      <c r="B6" s="14">
        <v>20</v>
      </c>
      <c r="C6" s="14">
        <v>50</v>
      </c>
      <c r="D6" s="14">
        <v>285</v>
      </c>
      <c r="E6" s="14" t="s">
        <v>133</v>
      </c>
      <c r="F6" s="34">
        <f t="shared" si="0"/>
        <v>14250</v>
      </c>
      <c r="H6" s="145" t="s">
        <v>128</v>
      </c>
      <c r="I6" s="34">
        <v>270</v>
      </c>
    </row>
    <row r="7" spans="1:9" x14ac:dyDescent="0.25">
      <c r="A7" s="35" t="s">
        <v>120</v>
      </c>
      <c r="B7" s="14">
        <v>15</v>
      </c>
      <c r="C7" s="14">
        <v>50</v>
      </c>
      <c r="D7" s="14">
        <v>285</v>
      </c>
      <c r="E7" s="14" t="s">
        <v>133</v>
      </c>
      <c r="F7" s="34">
        <f t="shared" si="0"/>
        <v>14250</v>
      </c>
      <c r="H7" s="145" t="s">
        <v>132</v>
      </c>
      <c r="I7" s="34">
        <v>300</v>
      </c>
    </row>
    <row r="8" spans="1:9" x14ac:dyDescent="0.25">
      <c r="A8" s="35" t="s">
        <v>121</v>
      </c>
      <c r="B8" s="14">
        <v>18</v>
      </c>
      <c r="C8" s="14">
        <v>35</v>
      </c>
      <c r="D8" s="14">
        <v>285</v>
      </c>
      <c r="E8" s="14" t="s">
        <v>133</v>
      </c>
      <c r="F8" s="34">
        <f t="shared" si="0"/>
        <v>9975</v>
      </c>
    </row>
    <row r="9" spans="1:9" x14ac:dyDescent="0.25">
      <c r="A9" s="146" t="s">
        <v>123</v>
      </c>
      <c r="B9" s="145" t="s">
        <v>129</v>
      </c>
      <c r="C9" s="145" t="s">
        <v>130</v>
      </c>
      <c r="D9" s="145" t="s">
        <v>131</v>
      </c>
      <c r="E9" s="116"/>
      <c r="F9" s="145" t="s">
        <v>134</v>
      </c>
    </row>
    <row r="10" spans="1:9" x14ac:dyDescent="0.25">
      <c r="A10" s="35" t="s">
        <v>124</v>
      </c>
      <c r="B10" s="14">
        <v>2</v>
      </c>
      <c r="C10" s="14">
        <v>18</v>
      </c>
      <c r="D10" s="14">
        <v>300</v>
      </c>
      <c r="E10" s="14" t="s">
        <v>132</v>
      </c>
      <c r="F10" s="34">
        <f t="shared" si="0"/>
        <v>5400</v>
      </c>
    </row>
    <row r="11" spans="1:9" x14ac:dyDescent="0.25">
      <c r="A11" s="35" t="s">
        <v>125</v>
      </c>
      <c r="B11" s="14">
        <v>18</v>
      </c>
      <c r="C11" s="14">
        <v>15</v>
      </c>
      <c r="D11" s="14">
        <v>300</v>
      </c>
      <c r="E11" s="14" t="s">
        <v>132</v>
      </c>
      <c r="F11" s="34">
        <f t="shared" si="0"/>
        <v>4500</v>
      </c>
    </row>
    <row r="12" spans="1:9" x14ac:dyDescent="0.25">
      <c r="A12" s="35" t="s">
        <v>126</v>
      </c>
      <c r="B12" s="14">
        <v>18</v>
      </c>
      <c r="C12" s="14">
        <v>15</v>
      </c>
      <c r="D12" s="14">
        <v>300</v>
      </c>
      <c r="E12" s="14" t="s">
        <v>132</v>
      </c>
      <c r="F12" s="34">
        <f t="shared" si="0"/>
        <v>4500</v>
      </c>
    </row>
    <row r="13" spans="1:9" x14ac:dyDescent="0.25">
      <c r="A13" s="35" t="s">
        <v>127</v>
      </c>
      <c r="B13" s="14">
        <v>50</v>
      </c>
      <c r="C13" s="14">
        <v>400</v>
      </c>
      <c r="D13" s="14">
        <v>300</v>
      </c>
      <c r="E13" s="14" t="s">
        <v>132</v>
      </c>
      <c r="F13" s="34">
        <f t="shared" si="0"/>
        <v>120000</v>
      </c>
    </row>
    <row r="14" spans="1:9" x14ac:dyDescent="0.25">
      <c r="A14" s="35" t="s">
        <v>128</v>
      </c>
      <c r="B14" s="14">
        <v>5</v>
      </c>
      <c r="C14" s="14">
        <v>30</v>
      </c>
      <c r="D14" s="14">
        <v>270</v>
      </c>
      <c r="E14" s="14" t="s">
        <v>128</v>
      </c>
      <c r="F14" s="34">
        <f t="shared" si="0"/>
        <v>8100</v>
      </c>
    </row>
    <row r="15" spans="1:9" ht="21" x14ac:dyDescent="0.35">
      <c r="A15" s="211" t="s">
        <v>9</v>
      </c>
      <c r="B15" s="211"/>
      <c r="C15" s="211"/>
      <c r="D15" s="211"/>
      <c r="E15" s="211"/>
      <c r="F15" s="147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topLeftCell="A71" zoomScale="70" zoomScaleNormal="70" workbookViewId="0">
      <selection activeCell="A73" sqref="A73:O92"/>
    </sheetView>
  </sheetViews>
  <sheetFormatPr defaultColWidth="11.42578125" defaultRowHeight="18.75" x14ac:dyDescent="0.3"/>
  <cols>
    <col min="1" max="1" width="16.42578125" style="74" customWidth="1"/>
    <col min="2" max="3" width="21.5703125" style="74" bestFit="1" customWidth="1"/>
    <col min="4" max="6" width="16.7109375" style="74" bestFit="1" customWidth="1"/>
    <col min="7" max="15" width="12.85546875" style="74" bestFit="1" customWidth="1"/>
    <col min="16" max="16384" width="11.42578125" style="74"/>
  </cols>
  <sheetData>
    <row r="3" spans="1:15" x14ac:dyDescent="0.3">
      <c r="A3" s="157" t="s">
        <v>36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</row>
    <row r="4" spans="1:15" x14ac:dyDescent="0.3">
      <c r="A4" s="156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</row>
    <row r="5" spans="1:15" x14ac:dyDescent="0.3">
      <c r="A5" s="156" t="s">
        <v>160</v>
      </c>
      <c r="B5" s="141"/>
      <c r="C5" s="141"/>
      <c r="D5" s="212" t="s">
        <v>150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</row>
    <row r="6" spans="1:15" x14ac:dyDescent="0.3">
      <c r="C6" s="74" t="s">
        <v>153</v>
      </c>
      <c r="D6" s="85">
        <v>1</v>
      </c>
      <c r="E6" s="85">
        <v>2</v>
      </c>
      <c r="F6" s="85">
        <v>3</v>
      </c>
      <c r="G6" s="85">
        <v>4</v>
      </c>
      <c r="H6" s="85">
        <v>5</v>
      </c>
      <c r="I6" s="85">
        <v>6</v>
      </c>
      <c r="J6" s="85">
        <v>7</v>
      </c>
      <c r="K6" s="85">
        <v>8</v>
      </c>
      <c r="L6" s="85">
        <v>9</v>
      </c>
      <c r="M6" s="85">
        <v>10</v>
      </c>
      <c r="N6" s="85">
        <v>11</v>
      </c>
      <c r="O6" s="85">
        <v>12</v>
      </c>
    </row>
    <row r="7" spans="1:15" x14ac:dyDescent="0.3">
      <c r="A7" s="85"/>
      <c r="B7" s="85" t="s">
        <v>151</v>
      </c>
      <c r="C7" s="105">
        <f>SUM(D7:O8)</f>
        <v>520000</v>
      </c>
      <c r="D7" s="90">
        <v>40000</v>
      </c>
      <c r="E7" s="90">
        <v>40000</v>
      </c>
      <c r="F7" s="90">
        <v>40000</v>
      </c>
      <c r="G7" s="90">
        <v>40000</v>
      </c>
      <c r="H7" s="90">
        <v>40000</v>
      </c>
      <c r="I7" s="90">
        <v>40000</v>
      </c>
      <c r="J7" s="90">
        <v>40000</v>
      </c>
      <c r="K7" s="90">
        <v>40000</v>
      </c>
      <c r="L7" s="90">
        <v>40000</v>
      </c>
      <c r="M7" s="90">
        <v>40000</v>
      </c>
      <c r="N7" s="90">
        <v>40000</v>
      </c>
      <c r="O7" s="90">
        <v>40000</v>
      </c>
    </row>
    <row r="8" spans="1:15" x14ac:dyDescent="0.3">
      <c r="A8" s="85" t="s">
        <v>147</v>
      </c>
      <c r="B8" s="85"/>
      <c r="C8" s="85"/>
      <c r="D8" s="85"/>
      <c r="E8" s="85"/>
      <c r="F8" s="85"/>
      <c r="G8" s="85"/>
      <c r="H8" s="85"/>
      <c r="I8" s="90">
        <f>I7/2</f>
        <v>20000</v>
      </c>
      <c r="J8" s="85"/>
      <c r="K8" s="85"/>
      <c r="L8" s="85"/>
      <c r="M8" s="85"/>
      <c r="N8" s="85"/>
      <c r="O8" s="90">
        <f>O7/2</f>
        <v>20000</v>
      </c>
    </row>
    <row r="9" spans="1:15" x14ac:dyDescent="0.3">
      <c r="A9" s="85" t="s">
        <v>148</v>
      </c>
      <c r="B9" s="102">
        <v>0.17</v>
      </c>
      <c r="C9" s="90">
        <f t="shared" ref="C9:H9" si="0">C7*$B$9</f>
        <v>88400</v>
      </c>
      <c r="D9" s="90">
        <f t="shared" si="0"/>
        <v>6800.0000000000009</v>
      </c>
      <c r="E9" s="90">
        <f t="shared" si="0"/>
        <v>6800.0000000000009</v>
      </c>
      <c r="F9" s="90">
        <f t="shared" si="0"/>
        <v>6800.0000000000009</v>
      </c>
      <c r="G9" s="90">
        <f t="shared" si="0"/>
        <v>6800.0000000000009</v>
      </c>
      <c r="H9" s="90">
        <f t="shared" si="0"/>
        <v>6800.0000000000009</v>
      </c>
      <c r="I9" s="90">
        <f>(I7+I8)*$B$9</f>
        <v>10200</v>
      </c>
      <c r="J9" s="90">
        <f>J7*$B$9</f>
        <v>6800.0000000000009</v>
      </c>
      <c r="K9" s="90">
        <f>K7*$B$9</f>
        <v>6800.0000000000009</v>
      </c>
      <c r="L9" s="90">
        <f>L7*$B$9</f>
        <v>6800.0000000000009</v>
      </c>
      <c r="M9" s="90">
        <f>M7*$B$9</f>
        <v>6800.0000000000009</v>
      </c>
      <c r="N9" s="90">
        <f>N7*$B$9</f>
        <v>6800.0000000000009</v>
      </c>
      <c r="O9" s="90">
        <f>(O7+O8)*$B$9</f>
        <v>10200</v>
      </c>
    </row>
    <row r="10" spans="1:15" x14ac:dyDescent="0.3">
      <c r="A10" s="85" t="s">
        <v>149</v>
      </c>
      <c r="B10" s="102">
        <v>0.06</v>
      </c>
      <c r="C10" s="90">
        <f t="shared" ref="C10:H10" si="1">C7*$B$10</f>
        <v>31200</v>
      </c>
      <c r="D10" s="90">
        <f t="shared" si="1"/>
        <v>2400</v>
      </c>
      <c r="E10" s="90">
        <f t="shared" si="1"/>
        <v>2400</v>
      </c>
      <c r="F10" s="90">
        <f t="shared" si="1"/>
        <v>2400</v>
      </c>
      <c r="G10" s="90">
        <f t="shared" si="1"/>
        <v>2400</v>
      </c>
      <c r="H10" s="90">
        <f t="shared" si="1"/>
        <v>2400</v>
      </c>
      <c r="I10" s="90">
        <f>(I7+I8)*$B$10</f>
        <v>3600</v>
      </c>
      <c r="J10" s="90">
        <f>J7*$B$10</f>
        <v>2400</v>
      </c>
      <c r="K10" s="90">
        <f>K7*$B$10</f>
        <v>2400</v>
      </c>
      <c r="L10" s="90">
        <f>L7*$B$10</f>
        <v>2400</v>
      </c>
      <c r="M10" s="90">
        <f>M7*$B$10</f>
        <v>2400</v>
      </c>
      <c r="N10" s="90">
        <f>N7*$B$10</f>
        <v>2400</v>
      </c>
      <c r="O10" s="90">
        <f>(O7+O8)*$B$10</f>
        <v>3600</v>
      </c>
    </row>
    <row r="11" spans="1:15" x14ac:dyDescent="0.3">
      <c r="C11" s="75" t="s">
        <v>152</v>
      </c>
      <c r="D11" s="106">
        <f>D7-D9-D10</f>
        <v>30800</v>
      </c>
      <c r="E11" s="106">
        <f t="shared" ref="E11:N11" si="2">E7-E9-E10</f>
        <v>30800</v>
      </c>
      <c r="F11" s="106">
        <f t="shared" si="2"/>
        <v>30800</v>
      </c>
      <c r="G11" s="106">
        <f t="shared" si="2"/>
        <v>30800</v>
      </c>
      <c r="H11" s="106">
        <f t="shared" si="2"/>
        <v>30800</v>
      </c>
      <c r="I11" s="106">
        <f>I7+I8-I9-I10</f>
        <v>46200</v>
      </c>
      <c r="J11" s="106">
        <f t="shared" si="2"/>
        <v>30800</v>
      </c>
      <c r="K11" s="106">
        <f t="shared" si="2"/>
        <v>30800</v>
      </c>
      <c r="L11" s="106">
        <f t="shared" si="2"/>
        <v>30800</v>
      </c>
      <c r="M11" s="106">
        <f t="shared" si="2"/>
        <v>30800</v>
      </c>
      <c r="N11" s="106">
        <f t="shared" si="2"/>
        <v>30800</v>
      </c>
      <c r="O11" s="106">
        <f>O7+O8-O9-O10</f>
        <v>46200</v>
      </c>
    </row>
    <row r="15" spans="1:15" x14ac:dyDescent="0.3">
      <c r="A15" s="156" t="s">
        <v>161</v>
      </c>
      <c r="B15" s="141"/>
      <c r="C15" s="141"/>
      <c r="D15" s="212" t="s">
        <v>150</v>
      </c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</row>
    <row r="16" spans="1:15" x14ac:dyDescent="0.3">
      <c r="A16" s="141"/>
      <c r="B16" s="141"/>
      <c r="C16" s="141" t="s">
        <v>153</v>
      </c>
      <c r="D16" s="142">
        <v>1</v>
      </c>
      <c r="E16" s="142">
        <v>2</v>
      </c>
      <c r="F16" s="142">
        <v>3</v>
      </c>
      <c r="G16" s="142">
        <v>4</v>
      </c>
      <c r="H16" s="142">
        <v>5</v>
      </c>
      <c r="I16" s="142">
        <v>6</v>
      </c>
      <c r="J16" s="142">
        <v>7</v>
      </c>
      <c r="K16" s="142">
        <v>8</v>
      </c>
      <c r="L16" s="142">
        <v>9</v>
      </c>
      <c r="M16" s="142">
        <v>10</v>
      </c>
      <c r="N16" s="142">
        <v>11</v>
      </c>
      <c r="O16" s="142">
        <v>12</v>
      </c>
    </row>
    <row r="17" spans="1:15" x14ac:dyDescent="0.3">
      <c r="A17" s="85"/>
      <c r="B17" s="85" t="s">
        <v>151</v>
      </c>
      <c r="C17" s="105">
        <f>SUM(D17:O18)</f>
        <v>520000</v>
      </c>
      <c r="D17" s="90">
        <v>40000</v>
      </c>
      <c r="E17" s="90">
        <v>40000</v>
      </c>
      <c r="F17" s="90">
        <v>40000</v>
      </c>
      <c r="G17" s="90">
        <v>40000</v>
      </c>
      <c r="H17" s="90">
        <v>40000</v>
      </c>
      <c r="I17" s="90">
        <v>40000</v>
      </c>
      <c r="J17" s="90">
        <v>40000</v>
      </c>
      <c r="K17" s="90">
        <v>40000</v>
      </c>
      <c r="L17" s="90">
        <v>40000</v>
      </c>
      <c r="M17" s="90">
        <v>40000</v>
      </c>
      <c r="N17" s="90">
        <v>40000</v>
      </c>
      <c r="O17" s="90">
        <v>40000</v>
      </c>
    </row>
    <row r="18" spans="1:15" x14ac:dyDescent="0.3">
      <c r="A18" s="85" t="s">
        <v>147</v>
      </c>
      <c r="B18" s="85"/>
      <c r="C18" s="85"/>
      <c r="D18" s="85"/>
      <c r="E18" s="85"/>
      <c r="F18" s="85"/>
      <c r="G18" s="85"/>
      <c r="H18" s="85"/>
      <c r="I18" s="90">
        <f>I17/2</f>
        <v>20000</v>
      </c>
      <c r="J18" s="85"/>
      <c r="K18" s="85"/>
      <c r="L18" s="85"/>
      <c r="M18" s="85"/>
      <c r="N18" s="85"/>
      <c r="O18" s="90">
        <f>O17/2</f>
        <v>20000</v>
      </c>
    </row>
    <row r="19" spans="1:15" x14ac:dyDescent="0.3">
      <c r="A19" s="85" t="s">
        <v>148</v>
      </c>
      <c r="B19" s="102">
        <v>0.17</v>
      </c>
      <c r="C19" s="90">
        <f>C17*$B$9</f>
        <v>88400</v>
      </c>
      <c r="D19" s="90">
        <f>D17*$B$9</f>
        <v>6800.0000000000009</v>
      </c>
      <c r="E19" s="90">
        <f t="shared" ref="E19:H19" si="3">E17*$B$9</f>
        <v>6800.0000000000009</v>
      </c>
      <c r="F19" s="90">
        <f t="shared" si="3"/>
        <v>6800.0000000000009</v>
      </c>
      <c r="G19" s="90">
        <f t="shared" si="3"/>
        <v>6800.0000000000009</v>
      </c>
      <c r="H19" s="90">
        <f t="shared" si="3"/>
        <v>6800.0000000000009</v>
      </c>
      <c r="I19" s="90">
        <f>(I17+I18)*$B$9</f>
        <v>10200</v>
      </c>
      <c r="J19" s="90">
        <f t="shared" ref="J19:N19" si="4">J17*$B$9</f>
        <v>6800.0000000000009</v>
      </c>
      <c r="K19" s="90">
        <f t="shared" si="4"/>
        <v>6800.0000000000009</v>
      </c>
      <c r="L19" s="90">
        <f t="shared" si="4"/>
        <v>6800.0000000000009</v>
      </c>
      <c r="M19" s="90">
        <f t="shared" si="4"/>
        <v>6800.0000000000009</v>
      </c>
      <c r="N19" s="90">
        <f t="shared" si="4"/>
        <v>6800.0000000000009</v>
      </c>
      <c r="O19" s="90">
        <f>(O17+O18)*$B$9</f>
        <v>10200</v>
      </c>
    </row>
    <row r="20" spans="1:15" x14ac:dyDescent="0.3">
      <c r="A20" s="85" t="s">
        <v>149</v>
      </c>
      <c r="B20" s="102">
        <v>0.06</v>
      </c>
      <c r="C20" s="90">
        <f>C17*$B$10</f>
        <v>31200</v>
      </c>
      <c r="D20" s="90">
        <f>D17*$B$10</f>
        <v>2400</v>
      </c>
      <c r="E20" s="90">
        <f t="shared" ref="E20:H20" si="5">E17*$B$10</f>
        <v>2400</v>
      </c>
      <c r="F20" s="90">
        <f t="shared" si="5"/>
        <v>2400</v>
      </c>
      <c r="G20" s="90">
        <f t="shared" si="5"/>
        <v>2400</v>
      </c>
      <c r="H20" s="90">
        <f t="shared" si="5"/>
        <v>2400</v>
      </c>
      <c r="I20" s="90">
        <f>(I17+I18)*$B$10</f>
        <v>3600</v>
      </c>
      <c r="J20" s="90">
        <f>J17*$B$10</f>
        <v>2400</v>
      </c>
      <c r="K20" s="90">
        <f>K17*$B$10</f>
        <v>2400</v>
      </c>
      <c r="L20" s="90">
        <f>L17*$B$10</f>
        <v>2400</v>
      </c>
      <c r="M20" s="90">
        <f>M17*$B$10</f>
        <v>2400</v>
      </c>
      <c r="N20" s="90">
        <f>N17*$B$10</f>
        <v>2400</v>
      </c>
      <c r="O20" s="90">
        <f>(O17+O18)*$B$10</f>
        <v>3600</v>
      </c>
    </row>
    <row r="21" spans="1:15" x14ac:dyDescent="0.3">
      <c r="C21" s="75" t="s">
        <v>152</v>
      </c>
      <c r="D21" s="106">
        <f>D17-D19-D20</f>
        <v>30800</v>
      </c>
      <c r="E21" s="106">
        <f t="shared" ref="E21" si="6">E17-E19-E20</f>
        <v>30800</v>
      </c>
      <c r="F21" s="106">
        <f t="shared" ref="F21" si="7">F17-F19-F20</f>
        <v>30800</v>
      </c>
      <c r="G21" s="106">
        <f t="shared" ref="G21" si="8">G17-G19-G20</f>
        <v>30800</v>
      </c>
      <c r="H21" s="106">
        <f t="shared" ref="H21" si="9">H17-H19-H20</f>
        <v>30800</v>
      </c>
      <c r="I21" s="106">
        <f>I17+I18-I19-I20</f>
        <v>46200</v>
      </c>
      <c r="J21" s="106">
        <f t="shared" ref="J21:N21" si="10">J17-J19-J20</f>
        <v>30800</v>
      </c>
      <c r="K21" s="106">
        <f t="shared" si="10"/>
        <v>30800</v>
      </c>
      <c r="L21" s="106">
        <f t="shared" si="10"/>
        <v>30800</v>
      </c>
      <c r="M21" s="106">
        <f t="shared" si="10"/>
        <v>30800</v>
      </c>
      <c r="N21" s="106">
        <f t="shared" si="10"/>
        <v>30800</v>
      </c>
      <c r="O21" s="106">
        <f>O17+O18-O19-O20</f>
        <v>46200</v>
      </c>
    </row>
    <row r="24" spans="1:15" x14ac:dyDescent="0.3">
      <c r="A24" s="156" t="s">
        <v>162</v>
      </c>
      <c r="B24" s="141"/>
      <c r="C24" s="141"/>
      <c r="D24" s="212" t="s">
        <v>150</v>
      </c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</row>
    <row r="25" spans="1:15" x14ac:dyDescent="0.3">
      <c r="A25" s="141"/>
      <c r="B25" s="141"/>
      <c r="C25" s="141" t="s">
        <v>153</v>
      </c>
      <c r="D25" s="142">
        <v>1</v>
      </c>
      <c r="E25" s="142">
        <v>2</v>
      </c>
      <c r="F25" s="142">
        <v>3</v>
      </c>
      <c r="G25" s="142">
        <v>4</v>
      </c>
      <c r="H25" s="142">
        <v>5</v>
      </c>
      <c r="I25" s="142">
        <v>6</v>
      </c>
      <c r="J25" s="142">
        <v>7</v>
      </c>
      <c r="K25" s="142">
        <v>8</v>
      </c>
      <c r="L25" s="142">
        <v>9</v>
      </c>
      <c r="M25" s="142">
        <v>10</v>
      </c>
      <c r="N25" s="142">
        <v>11</v>
      </c>
      <c r="O25" s="142">
        <v>12</v>
      </c>
    </row>
    <row r="26" spans="1:15" x14ac:dyDescent="0.3">
      <c r="A26" s="85"/>
      <c r="B26" s="85" t="s">
        <v>151</v>
      </c>
      <c r="C26" s="105">
        <f>SUM(D26:O27)</f>
        <v>520000</v>
      </c>
      <c r="D26" s="90">
        <v>40000</v>
      </c>
      <c r="E26" s="90">
        <v>40000</v>
      </c>
      <c r="F26" s="90">
        <v>40000</v>
      </c>
      <c r="G26" s="90">
        <v>40000</v>
      </c>
      <c r="H26" s="90">
        <v>40000</v>
      </c>
      <c r="I26" s="90">
        <v>40000</v>
      </c>
      <c r="J26" s="90">
        <v>40000</v>
      </c>
      <c r="K26" s="90">
        <v>40000</v>
      </c>
      <c r="L26" s="90">
        <v>40000</v>
      </c>
      <c r="M26" s="90">
        <v>40000</v>
      </c>
      <c r="N26" s="90">
        <v>40000</v>
      </c>
      <c r="O26" s="90">
        <v>40000</v>
      </c>
    </row>
    <row r="27" spans="1:15" x14ac:dyDescent="0.3">
      <c r="A27" s="85" t="s">
        <v>147</v>
      </c>
      <c r="B27" s="85"/>
      <c r="C27" s="85"/>
      <c r="D27" s="85"/>
      <c r="E27" s="85"/>
      <c r="F27" s="85"/>
      <c r="G27" s="85"/>
      <c r="H27" s="85"/>
      <c r="I27" s="90">
        <f>I26/2</f>
        <v>20000</v>
      </c>
      <c r="J27" s="85"/>
      <c r="K27" s="85"/>
      <c r="L27" s="85"/>
      <c r="M27" s="85"/>
      <c r="N27" s="85"/>
      <c r="O27" s="90">
        <f>O26/2</f>
        <v>20000</v>
      </c>
    </row>
    <row r="28" spans="1:15" x14ac:dyDescent="0.3">
      <c r="A28" s="85" t="s">
        <v>148</v>
      </c>
      <c r="B28" s="102">
        <v>0.17</v>
      </c>
      <c r="C28" s="90">
        <f>C26*$B$9</f>
        <v>88400</v>
      </c>
      <c r="D28" s="90">
        <f>D26*$B$9</f>
        <v>6800.0000000000009</v>
      </c>
      <c r="E28" s="90">
        <f t="shared" ref="E28:H28" si="11">E26*$B$9</f>
        <v>6800.0000000000009</v>
      </c>
      <c r="F28" s="90">
        <f t="shared" si="11"/>
        <v>6800.0000000000009</v>
      </c>
      <c r="G28" s="90">
        <f t="shared" si="11"/>
        <v>6800.0000000000009</v>
      </c>
      <c r="H28" s="90">
        <f t="shared" si="11"/>
        <v>6800.0000000000009</v>
      </c>
      <c r="I28" s="90">
        <f>(I26+I27)*$B$9</f>
        <v>10200</v>
      </c>
      <c r="J28" s="90">
        <f t="shared" ref="J28:N28" si="12">J26*$B$9</f>
        <v>6800.0000000000009</v>
      </c>
      <c r="K28" s="90">
        <f t="shared" si="12"/>
        <v>6800.0000000000009</v>
      </c>
      <c r="L28" s="90">
        <f t="shared" si="12"/>
        <v>6800.0000000000009</v>
      </c>
      <c r="M28" s="90">
        <f t="shared" si="12"/>
        <v>6800.0000000000009</v>
      </c>
      <c r="N28" s="90">
        <f t="shared" si="12"/>
        <v>6800.0000000000009</v>
      </c>
      <c r="O28" s="90">
        <f>(O26+O27)*$B$9</f>
        <v>10200</v>
      </c>
    </row>
    <row r="29" spans="1:15" x14ac:dyDescent="0.3">
      <c r="A29" s="85" t="s">
        <v>149</v>
      </c>
      <c r="B29" s="102">
        <v>0.06</v>
      </c>
      <c r="C29" s="90">
        <f>C26*$B$10</f>
        <v>31200</v>
      </c>
      <c r="D29" s="90">
        <f>D26*$B$10</f>
        <v>2400</v>
      </c>
      <c r="E29" s="90">
        <f t="shared" ref="E29:H29" si="13">E26*$B$10</f>
        <v>2400</v>
      </c>
      <c r="F29" s="90">
        <f t="shared" si="13"/>
        <v>2400</v>
      </c>
      <c r="G29" s="90">
        <f t="shared" si="13"/>
        <v>2400</v>
      </c>
      <c r="H29" s="90">
        <f t="shared" si="13"/>
        <v>2400</v>
      </c>
      <c r="I29" s="90">
        <f>(I26+I27)*$B$10</f>
        <v>3600</v>
      </c>
      <c r="J29" s="90">
        <f>J26*$B$10</f>
        <v>2400</v>
      </c>
      <c r="K29" s="90">
        <f>K26*$B$10</f>
        <v>2400</v>
      </c>
      <c r="L29" s="90">
        <f>L26*$B$10</f>
        <v>2400</v>
      </c>
      <c r="M29" s="90">
        <f>M26*$B$10</f>
        <v>2400</v>
      </c>
      <c r="N29" s="90">
        <f>N26*$B$10</f>
        <v>2400</v>
      </c>
      <c r="O29" s="90">
        <f>(O26+O27)*$B$10</f>
        <v>3600</v>
      </c>
    </row>
    <row r="30" spans="1:15" x14ac:dyDescent="0.3">
      <c r="C30" s="75" t="s">
        <v>152</v>
      </c>
      <c r="D30" s="106">
        <f>D26-D28-D29</f>
        <v>30800</v>
      </c>
      <c r="E30" s="106">
        <f t="shared" ref="E30" si="14">E26-E28-E29</f>
        <v>30800</v>
      </c>
      <c r="F30" s="106">
        <f t="shared" ref="F30" si="15">F26-F28-F29</f>
        <v>30800</v>
      </c>
      <c r="G30" s="106">
        <f t="shared" ref="G30" si="16">G26-G28-G29</f>
        <v>30800</v>
      </c>
      <c r="H30" s="106">
        <f t="shared" ref="H30" si="17">H26-H28-H29</f>
        <v>30800</v>
      </c>
      <c r="I30" s="106">
        <f>I26+I27-I28-I29</f>
        <v>46200</v>
      </c>
      <c r="J30" s="106">
        <f t="shared" ref="J30:N30" si="18">J26-J28-J29</f>
        <v>30800</v>
      </c>
      <c r="K30" s="106">
        <f t="shared" si="18"/>
        <v>30800</v>
      </c>
      <c r="L30" s="106">
        <f t="shared" si="18"/>
        <v>30800</v>
      </c>
      <c r="M30" s="106">
        <f t="shared" si="18"/>
        <v>30800</v>
      </c>
      <c r="N30" s="106">
        <f t="shared" si="18"/>
        <v>30800</v>
      </c>
      <c r="O30" s="106">
        <f>O26+O27-O28-O29</f>
        <v>46200</v>
      </c>
    </row>
    <row r="32" spans="1:15" x14ac:dyDescent="0.3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</row>
    <row r="33" spans="1:15" x14ac:dyDescent="0.3">
      <c r="A33" s="141" t="s">
        <v>219</v>
      </c>
      <c r="B33" s="141"/>
      <c r="C33" s="141"/>
      <c r="D33" s="216" t="s">
        <v>150</v>
      </c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8"/>
    </row>
    <row r="34" spans="1:15" x14ac:dyDescent="0.3">
      <c r="C34" s="74" t="s">
        <v>153</v>
      </c>
      <c r="D34" s="85">
        <v>1</v>
      </c>
      <c r="E34" s="85">
        <v>2</v>
      </c>
      <c r="F34" s="85">
        <v>3</v>
      </c>
      <c r="G34" s="85">
        <v>4</v>
      </c>
      <c r="H34" s="85">
        <v>5</v>
      </c>
      <c r="I34" s="85">
        <v>6</v>
      </c>
      <c r="J34" s="85">
        <v>7</v>
      </c>
      <c r="K34" s="85">
        <v>8</v>
      </c>
      <c r="L34" s="85">
        <v>9</v>
      </c>
      <c r="M34" s="85">
        <v>10</v>
      </c>
      <c r="N34" s="85">
        <v>11</v>
      </c>
      <c r="O34" s="85">
        <v>12</v>
      </c>
    </row>
    <row r="35" spans="1:15" x14ac:dyDescent="0.3">
      <c r="A35" s="85"/>
      <c r="B35" s="85" t="s">
        <v>151</v>
      </c>
      <c r="C35" s="105">
        <f>SUM(D35:O36)</f>
        <v>234000</v>
      </c>
      <c r="D35" s="90">
        <v>18000</v>
      </c>
      <c r="E35" s="90">
        <v>18000</v>
      </c>
      <c r="F35" s="90">
        <v>18000</v>
      </c>
      <c r="G35" s="90">
        <v>18000</v>
      </c>
      <c r="H35" s="90">
        <v>18000</v>
      </c>
      <c r="I35" s="90">
        <v>18000</v>
      </c>
      <c r="J35" s="90">
        <v>18000</v>
      </c>
      <c r="K35" s="90">
        <v>18000</v>
      </c>
      <c r="L35" s="90">
        <v>18000</v>
      </c>
      <c r="M35" s="90">
        <v>18000</v>
      </c>
      <c r="N35" s="90">
        <v>18000</v>
      </c>
      <c r="O35" s="90">
        <v>18000</v>
      </c>
    </row>
    <row r="36" spans="1:15" x14ac:dyDescent="0.3">
      <c r="A36" s="85" t="s">
        <v>147</v>
      </c>
      <c r="B36" s="85"/>
      <c r="C36" s="85"/>
      <c r="D36" s="85"/>
      <c r="E36" s="85"/>
      <c r="F36" s="85"/>
      <c r="G36" s="85"/>
      <c r="H36" s="85"/>
      <c r="I36" s="90">
        <f>I35/2</f>
        <v>9000</v>
      </c>
      <c r="J36" s="85"/>
      <c r="K36" s="85"/>
      <c r="L36" s="85"/>
      <c r="M36" s="85"/>
      <c r="N36" s="85"/>
      <c r="O36" s="90">
        <f>O35/2</f>
        <v>9000</v>
      </c>
    </row>
    <row r="37" spans="1:15" x14ac:dyDescent="0.3">
      <c r="A37" s="85" t="s">
        <v>148</v>
      </c>
      <c r="B37" s="102">
        <v>0.17</v>
      </c>
      <c r="C37" s="90">
        <f t="shared" ref="C37:H37" si="19">C35*$B$9</f>
        <v>39780</v>
      </c>
      <c r="D37" s="90">
        <f t="shared" si="19"/>
        <v>3060</v>
      </c>
      <c r="E37" s="90">
        <f t="shared" si="19"/>
        <v>3060</v>
      </c>
      <c r="F37" s="90">
        <f t="shared" si="19"/>
        <v>3060</v>
      </c>
      <c r="G37" s="90">
        <f t="shared" si="19"/>
        <v>3060</v>
      </c>
      <c r="H37" s="90">
        <f t="shared" si="19"/>
        <v>3060</v>
      </c>
      <c r="I37" s="90">
        <f>(I35+I36)*$B$9</f>
        <v>4590</v>
      </c>
      <c r="J37" s="90">
        <f>J35*$B$9</f>
        <v>3060</v>
      </c>
      <c r="K37" s="90">
        <f>K35*$B$9</f>
        <v>3060</v>
      </c>
      <c r="L37" s="90">
        <f>L35*$B$9</f>
        <v>3060</v>
      </c>
      <c r="M37" s="90">
        <f>M35*$B$9</f>
        <v>3060</v>
      </c>
      <c r="N37" s="90">
        <f>N35*$B$9</f>
        <v>3060</v>
      </c>
      <c r="O37" s="90">
        <f>(O35+O36)*$B$9</f>
        <v>4590</v>
      </c>
    </row>
    <row r="38" spans="1:15" x14ac:dyDescent="0.3">
      <c r="A38" s="85" t="s">
        <v>149</v>
      </c>
      <c r="B38" s="102">
        <v>0.06</v>
      </c>
      <c r="C38" s="90">
        <f t="shared" ref="C38:H38" si="20">C35*$B$10</f>
        <v>14040</v>
      </c>
      <c r="D38" s="90">
        <f t="shared" si="20"/>
        <v>1080</v>
      </c>
      <c r="E38" s="90">
        <f t="shared" si="20"/>
        <v>1080</v>
      </c>
      <c r="F38" s="90">
        <f t="shared" si="20"/>
        <v>1080</v>
      </c>
      <c r="G38" s="90">
        <f t="shared" si="20"/>
        <v>1080</v>
      </c>
      <c r="H38" s="90">
        <f t="shared" si="20"/>
        <v>1080</v>
      </c>
      <c r="I38" s="90">
        <f>(I35+I36)*$B$10</f>
        <v>1620</v>
      </c>
      <c r="J38" s="90">
        <f>J35*$B$10</f>
        <v>1080</v>
      </c>
      <c r="K38" s="90">
        <f>K35*$B$10</f>
        <v>1080</v>
      </c>
      <c r="L38" s="90">
        <f>L35*$B$10</f>
        <v>1080</v>
      </c>
      <c r="M38" s="90">
        <f>M35*$B$10</f>
        <v>1080</v>
      </c>
      <c r="N38" s="90">
        <f>N35*$B$10</f>
        <v>1080</v>
      </c>
      <c r="O38" s="90">
        <f>(O35+O36)*$B$10</f>
        <v>1620</v>
      </c>
    </row>
    <row r="39" spans="1:15" x14ac:dyDescent="0.3">
      <c r="C39" s="75" t="s">
        <v>152</v>
      </c>
      <c r="D39" s="106">
        <f>D35-D37-D38</f>
        <v>13860</v>
      </c>
      <c r="E39" s="106">
        <f t="shared" ref="E39:H39" si="21">E35-E37-E38</f>
        <v>13860</v>
      </c>
      <c r="F39" s="106">
        <f t="shared" si="21"/>
        <v>13860</v>
      </c>
      <c r="G39" s="106">
        <f t="shared" si="21"/>
        <v>13860</v>
      </c>
      <c r="H39" s="106">
        <f t="shared" si="21"/>
        <v>13860</v>
      </c>
      <c r="I39" s="106">
        <f>I35+I36-I37-I38</f>
        <v>20790</v>
      </c>
      <c r="J39" s="106">
        <f t="shared" ref="J39:N39" si="22">J35-J37-J38</f>
        <v>13860</v>
      </c>
      <c r="K39" s="106">
        <f t="shared" si="22"/>
        <v>13860</v>
      </c>
      <c r="L39" s="106">
        <f t="shared" si="22"/>
        <v>13860</v>
      </c>
      <c r="M39" s="106">
        <f t="shared" si="22"/>
        <v>13860</v>
      </c>
      <c r="N39" s="106">
        <f t="shared" si="22"/>
        <v>13860</v>
      </c>
      <c r="O39" s="106">
        <f>O35+O36-O37-O38</f>
        <v>20790</v>
      </c>
    </row>
    <row r="42" spans="1:15" x14ac:dyDescent="0.3">
      <c r="A42" s="157" t="s">
        <v>220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</row>
    <row r="43" spans="1:15" x14ac:dyDescent="0.3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</row>
    <row r="44" spans="1:15" x14ac:dyDescent="0.3">
      <c r="A44" s="141" t="s">
        <v>155</v>
      </c>
      <c r="B44" s="141"/>
      <c r="C44" s="141"/>
      <c r="D44" s="216" t="s">
        <v>150</v>
      </c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8"/>
    </row>
    <row r="45" spans="1:15" x14ac:dyDescent="0.3">
      <c r="C45" s="74" t="s">
        <v>153</v>
      </c>
      <c r="D45" s="85">
        <v>1</v>
      </c>
      <c r="E45" s="85">
        <v>2</v>
      </c>
      <c r="F45" s="85">
        <v>3</v>
      </c>
      <c r="G45" s="85">
        <v>4</v>
      </c>
      <c r="H45" s="85">
        <v>5</v>
      </c>
      <c r="I45" s="85">
        <v>6</v>
      </c>
      <c r="J45" s="85">
        <v>7</v>
      </c>
      <c r="K45" s="85">
        <v>8</v>
      </c>
      <c r="L45" s="85">
        <v>9</v>
      </c>
      <c r="M45" s="85">
        <v>10</v>
      </c>
      <c r="N45" s="85">
        <v>11</v>
      </c>
      <c r="O45" s="85">
        <v>12</v>
      </c>
    </row>
    <row r="46" spans="1:15" x14ac:dyDescent="0.3">
      <c r="A46" s="85"/>
      <c r="B46" s="85" t="s">
        <v>151</v>
      </c>
      <c r="C46" s="105">
        <f>SUM(D46:O47)</f>
        <v>364000</v>
      </c>
      <c r="D46" s="90">
        <v>28000</v>
      </c>
      <c r="E46" s="90">
        <v>28000</v>
      </c>
      <c r="F46" s="90">
        <v>28000</v>
      </c>
      <c r="G46" s="90">
        <v>28000</v>
      </c>
      <c r="H46" s="90">
        <v>28000</v>
      </c>
      <c r="I46" s="90">
        <v>28000</v>
      </c>
      <c r="J46" s="90">
        <v>28000</v>
      </c>
      <c r="K46" s="90">
        <v>28000</v>
      </c>
      <c r="L46" s="90">
        <v>28000</v>
      </c>
      <c r="M46" s="90">
        <v>28000</v>
      </c>
      <c r="N46" s="90">
        <v>28000</v>
      </c>
      <c r="O46" s="90">
        <v>28000</v>
      </c>
    </row>
    <row r="47" spans="1:15" x14ac:dyDescent="0.3">
      <c r="A47" s="85" t="s">
        <v>147</v>
      </c>
      <c r="B47" s="85"/>
      <c r="C47" s="85"/>
      <c r="D47" s="85"/>
      <c r="E47" s="85"/>
      <c r="F47" s="85"/>
      <c r="G47" s="85"/>
      <c r="H47" s="85"/>
      <c r="I47" s="90">
        <f>I46/2</f>
        <v>14000</v>
      </c>
      <c r="J47" s="85"/>
      <c r="K47" s="85"/>
      <c r="L47" s="85"/>
      <c r="M47" s="85"/>
      <c r="N47" s="85"/>
      <c r="O47" s="90">
        <f>O46/2</f>
        <v>14000</v>
      </c>
    </row>
    <row r="48" spans="1:15" x14ac:dyDescent="0.3">
      <c r="A48" s="85" t="s">
        <v>148</v>
      </c>
      <c r="B48" s="102">
        <v>0.17</v>
      </c>
      <c r="C48" s="90">
        <f t="shared" ref="C48:H48" si="23">C46*$B$9</f>
        <v>61880.000000000007</v>
      </c>
      <c r="D48" s="90">
        <f t="shared" si="23"/>
        <v>4760</v>
      </c>
      <c r="E48" s="90">
        <f t="shared" si="23"/>
        <v>4760</v>
      </c>
      <c r="F48" s="90">
        <f t="shared" si="23"/>
        <v>4760</v>
      </c>
      <c r="G48" s="90">
        <f t="shared" si="23"/>
        <v>4760</v>
      </c>
      <c r="H48" s="90">
        <f t="shared" si="23"/>
        <v>4760</v>
      </c>
      <c r="I48" s="90">
        <f>(I46+I47)*$B$9</f>
        <v>7140.0000000000009</v>
      </c>
      <c r="J48" s="90">
        <f>J46*$B$9</f>
        <v>4760</v>
      </c>
      <c r="K48" s="90">
        <f>K46*$B$9</f>
        <v>4760</v>
      </c>
      <c r="L48" s="90">
        <f>L46*$B$9</f>
        <v>4760</v>
      </c>
      <c r="M48" s="90">
        <f>M46*$B$9</f>
        <v>4760</v>
      </c>
      <c r="N48" s="90">
        <f>N46*$B$9</f>
        <v>4760</v>
      </c>
      <c r="O48" s="90">
        <f>(O46+O47)*$B$9</f>
        <v>7140.0000000000009</v>
      </c>
    </row>
    <row r="49" spans="1:15" x14ac:dyDescent="0.3">
      <c r="A49" s="85" t="s">
        <v>149</v>
      </c>
      <c r="B49" s="102">
        <v>0.06</v>
      </c>
      <c r="C49" s="90">
        <f t="shared" ref="C49:H49" si="24">C46*$B$10</f>
        <v>21840</v>
      </c>
      <c r="D49" s="90">
        <f t="shared" si="24"/>
        <v>1680</v>
      </c>
      <c r="E49" s="90">
        <f t="shared" si="24"/>
        <v>1680</v>
      </c>
      <c r="F49" s="90">
        <f t="shared" si="24"/>
        <v>1680</v>
      </c>
      <c r="G49" s="90">
        <f t="shared" si="24"/>
        <v>1680</v>
      </c>
      <c r="H49" s="90">
        <f t="shared" si="24"/>
        <v>1680</v>
      </c>
      <c r="I49" s="90">
        <f>(I46+I47)*$B$10</f>
        <v>2520</v>
      </c>
      <c r="J49" s="90">
        <f>J46*$B$10</f>
        <v>1680</v>
      </c>
      <c r="K49" s="90">
        <f>K46*$B$10</f>
        <v>1680</v>
      </c>
      <c r="L49" s="90">
        <f>L46*$B$10</f>
        <v>1680</v>
      </c>
      <c r="M49" s="90">
        <f>M46*$B$10</f>
        <v>1680</v>
      </c>
      <c r="N49" s="90">
        <f>N46*$B$10</f>
        <v>1680</v>
      </c>
      <c r="O49" s="90">
        <f>(O46+O47)*$B$10</f>
        <v>2520</v>
      </c>
    </row>
    <row r="50" spans="1:15" x14ac:dyDescent="0.3">
      <c r="C50" s="75" t="s">
        <v>152</v>
      </c>
      <c r="D50" s="106">
        <f>D46-D48-D49</f>
        <v>21560</v>
      </c>
      <c r="E50" s="106">
        <f t="shared" ref="E50" si="25">E46-E48-E49</f>
        <v>21560</v>
      </c>
      <c r="F50" s="106">
        <f t="shared" ref="F50" si="26">F46-F48-F49</f>
        <v>21560</v>
      </c>
      <c r="G50" s="106">
        <f t="shared" ref="G50" si="27">G46-G48-G49</f>
        <v>21560</v>
      </c>
      <c r="H50" s="106">
        <f t="shared" ref="H50" si="28">H46-H48-H49</f>
        <v>21560</v>
      </c>
      <c r="I50" s="106">
        <f>I46+I47-I48-I49</f>
        <v>32340</v>
      </c>
      <c r="J50" s="106">
        <f t="shared" ref="J50:N50" si="29">J46-J48-J49</f>
        <v>21560</v>
      </c>
      <c r="K50" s="106">
        <f t="shared" si="29"/>
        <v>21560</v>
      </c>
      <c r="L50" s="106">
        <f t="shared" si="29"/>
        <v>21560</v>
      </c>
      <c r="M50" s="106">
        <f t="shared" si="29"/>
        <v>21560</v>
      </c>
      <c r="N50" s="106">
        <f t="shared" si="29"/>
        <v>21560</v>
      </c>
      <c r="O50" s="106">
        <f>O46+O47-O48-O49</f>
        <v>32340</v>
      </c>
    </row>
    <row r="54" spans="1:15" x14ac:dyDescent="0.3">
      <c r="A54" s="156" t="s">
        <v>156</v>
      </c>
      <c r="B54" s="141"/>
      <c r="C54" s="141"/>
      <c r="D54" s="212" t="s">
        <v>150</v>
      </c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</row>
    <row r="55" spans="1:15" x14ac:dyDescent="0.3">
      <c r="A55" s="141"/>
      <c r="B55" s="141"/>
      <c r="C55" s="141" t="s">
        <v>153</v>
      </c>
      <c r="D55" s="142">
        <v>1</v>
      </c>
      <c r="E55" s="142">
        <v>2</v>
      </c>
      <c r="F55" s="142">
        <v>3</v>
      </c>
      <c r="G55" s="142">
        <v>4</v>
      </c>
      <c r="H55" s="142">
        <v>5</v>
      </c>
      <c r="I55" s="142">
        <v>6</v>
      </c>
      <c r="J55" s="142">
        <v>7</v>
      </c>
      <c r="K55" s="142">
        <v>8</v>
      </c>
      <c r="L55" s="142">
        <v>9</v>
      </c>
      <c r="M55" s="142">
        <v>10</v>
      </c>
      <c r="N55" s="142">
        <v>11</v>
      </c>
      <c r="O55" s="142">
        <v>12</v>
      </c>
    </row>
    <row r="56" spans="1:15" x14ac:dyDescent="0.3">
      <c r="A56" s="85"/>
      <c r="B56" s="85" t="s">
        <v>151</v>
      </c>
      <c r="C56" s="105">
        <f>SUM(D56:O57)</f>
        <v>390000</v>
      </c>
      <c r="D56" s="90">
        <v>30000</v>
      </c>
      <c r="E56" s="90">
        <v>30000</v>
      </c>
      <c r="F56" s="90">
        <v>30000</v>
      </c>
      <c r="G56" s="90">
        <v>30000</v>
      </c>
      <c r="H56" s="90">
        <v>30000</v>
      </c>
      <c r="I56" s="90">
        <v>30000</v>
      </c>
      <c r="J56" s="90">
        <v>30000</v>
      </c>
      <c r="K56" s="90">
        <v>30000</v>
      </c>
      <c r="L56" s="90">
        <v>30000</v>
      </c>
      <c r="M56" s="90">
        <v>30000</v>
      </c>
      <c r="N56" s="90">
        <v>30000</v>
      </c>
      <c r="O56" s="90">
        <v>30000</v>
      </c>
    </row>
    <row r="57" spans="1:15" x14ac:dyDescent="0.3">
      <c r="A57" s="85" t="s">
        <v>147</v>
      </c>
      <c r="B57" s="85"/>
      <c r="C57" s="85"/>
      <c r="D57" s="85"/>
      <c r="E57" s="85"/>
      <c r="F57" s="85"/>
      <c r="G57" s="85"/>
      <c r="H57" s="85"/>
      <c r="I57" s="90">
        <f>I56/2</f>
        <v>15000</v>
      </c>
      <c r="J57" s="85"/>
      <c r="K57" s="85"/>
      <c r="L57" s="85"/>
      <c r="M57" s="85"/>
      <c r="N57" s="85"/>
      <c r="O57" s="90">
        <f>O56/2</f>
        <v>15000</v>
      </c>
    </row>
    <row r="58" spans="1:15" x14ac:dyDescent="0.3">
      <c r="A58" s="85" t="s">
        <v>148</v>
      </c>
      <c r="B58" s="102">
        <v>0.17</v>
      </c>
      <c r="C58" s="90">
        <f t="shared" ref="C58:H58" si="30">C56*$B$9</f>
        <v>66300</v>
      </c>
      <c r="D58" s="90">
        <f t="shared" si="30"/>
        <v>5100</v>
      </c>
      <c r="E58" s="90">
        <f t="shared" si="30"/>
        <v>5100</v>
      </c>
      <c r="F58" s="90">
        <f t="shared" si="30"/>
        <v>5100</v>
      </c>
      <c r="G58" s="90">
        <f t="shared" si="30"/>
        <v>5100</v>
      </c>
      <c r="H58" s="90">
        <f t="shared" si="30"/>
        <v>5100</v>
      </c>
      <c r="I58" s="90">
        <f>(I56+I57)*$B$9</f>
        <v>7650.0000000000009</v>
      </c>
      <c r="J58" s="90">
        <f>J56*$B$9</f>
        <v>5100</v>
      </c>
      <c r="K58" s="90">
        <f>K56*$B$9</f>
        <v>5100</v>
      </c>
      <c r="L58" s="90">
        <f>L56*$B$9</f>
        <v>5100</v>
      </c>
      <c r="M58" s="90">
        <f>M56*$B$9</f>
        <v>5100</v>
      </c>
      <c r="N58" s="90">
        <f>N56*$B$9</f>
        <v>5100</v>
      </c>
      <c r="O58" s="90">
        <f>(O56+O57)*$B$9</f>
        <v>7650.0000000000009</v>
      </c>
    </row>
    <row r="59" spans="1:15" x14ac:dyDescent="0.3">
      <c r="A59" s="85" t="s">
        <v>149</v>
      </c>
      <c r="B59" s="102">
        <v>0.06</v>
      </c>
      <c r="C59" s="90">
        <f t="shared" ref="C59:H59" si="31">C56*$B$10</f>
        <v>23400</v>
      </c>
      <c r="D59" s="90">
        <f t="shared" si="31"/>
        <v>1800</v>
      </c>
      <c r="E59" s="90">
        <f t="shared" si="31"/>
        <v>1800</v>
      </c>
      <c r="F59" s="90">
        <f t="shared" si="31"/>
        <v>1800</v>
      </c>
      <c r="G59" s="90">
        <f t="shared" si="31"/>
        <v>1800</v>
      </c>
      <c r="H59" s="90">
        <f t="shared" si="31"/>
        <v>1800</v>
      </c>
      <c r="I59" s="90">
        <f>(I56+I57)*$B$10</f>
        <v>2700</v>
      </c>
      <c r="J59" s="90">
        <f>J56*$B$10</f>
        <v>1800</v>
      </c>
      <c r="K59" s="90">
        <f>K56*$B$10</f>
        <v>1800</v>
      </c>
      <c r="L59" s="90">
        <f>L56*$B$10</f>
        <v>1800</v>
      </c>
      <c r="M59" s="90">
        <f>M56*$B$10</f>
        <v>1800</v>
      </c>
      <c r="N59" s="90">
        <f>N56*$B$10</f>
        <v>1800</v>
      </c>
      <c r="O59" s="90">
        <f>(O56+O57)*$B$10</f>
        <v>2700</v>
      </c>
    </row>
    <row r="60" spans="1:15" x14ac:dyDescent="0.3">
      <c r="C60" s="75" t="s">
        <v>152</v>
      </c>
      <c r="D60" s="106">
        <f>D56-D58-D59</f>
        <v>23100</v>
      </c>
      <c r="E60" s="106">
        <f t="shared" ref="E60" si="32">E56-E58-E59</f>
        <v>23100</v>
      </c>
      <c r="F60" s="106">
        <f t="shared" ref="F60" si="33">F56-F58-F59</f>
        <v>23100</v>
      </c>
      <c r="G60" s="106">
        <f t="shared" ref="G60" si="34">G56-G58-G59</f>
        <v>23100</v>
      </c>
      <c r="H60" s="106">
        <f t="shared" ref="H60" si="35">H56-H58-H59</f>
        <v>23100</v>
      </c>
      <c r="I60" s="106">
        <f>I56+I57-I58-I59</f>
        <v>34650</v>
      </c>
      <c r="J60" s="106">
        <f t="shared" ref="J60:N60" si="36">J56-J58-J59</f>
        <v>23100</v>
      </c>
      <c r="K60" s="106">
        <f t="shared" si="36"/>
        <v>23100</v>
      </c>
      <c r="L60" s="106">
        <f t="shared" si="36"/>
        <v>23100</v>
      </c>
      <c r="M60" s="106">
        <f t="shared" si="36"/>
        <v>23100</v>
      </c>
      <c r="N60" s="106">
        <f t="shared" si="36"/>
        <v>23100</v>
      </c>
      <c r="O60" s="106">
        <f>O56+O57-O58-O59</f>
        <v>34650</v>
      </c>
    </row>
    <row r="64" spans="1:15" s="141" customFormat="1" x14ac:dyDescent="0.3">
      <c r="A64" s="156" t="s">
        <v>157</v>
      </c>
      <c r="D64" s="212" t="s">
        <v>150</v>
      </c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</row>
    <row r="65" spans="1:15" s="141" customFormat="1" x14ac:dyDescent="0.3">
      <c r="C65" s="141" t="s">
        <v>153</v>
      </c>
      <c r="D65" s="142">
        <v>1</v>
      </c>
      <c r="E65" s="142">
        <v>2</v>
      </c>
      <c r="F65" s="142">
        <v>3</v>
      </c>
      <c r="G65" s="142">
        <v>4</v>
      </c>
      <c r="H65" s="142">
        <v>5</v>
      </c>
      <c r="I65" s="142">
        <v>6</v>
      </c>
      <c r="J65" s="142">
        <v>7</v>
      </c>
      <c r="K65" s="142">
        <v>8</v>
      </c>
      <c r="L65" s="142">
        <v>9</v>
      </c>
      <c r="M65" s="142">
        <v>10</v>
      </c>
      <c r="N65" s="142">
        <v>11</v>
      </c>
      <c r="O65" s="142">
        <v>12</v>
      </c>
    </row>
    <row r="66" spans="1:15" x14ac:dyDescent="0.3">
      <c r="A66" s="85"/>
      <c r="B66" s="85" t="s">
        <v>151</v>
      </c>
      <c r="C66" s="105">
        <f>SUM(D66:O67)</f>
        <v>377000</v>
      </c>
      <c r="D66" s="90">
        <v>29000</v>
      </c>
      <c r="E66" s="90">
        <v>29000</v>
      </c>
      <c r="F66" s="90">
        <v>29000</v>
      </c>
      <c r="G66" s="90">
        <v>29000</v>
      </c>
      <c r="H66" s="90">
        <v>29000</v>
      </c>
      <c r="I66" s="90">
        <v>29000</v>
      </c>
      <c r="J66" s="90">
        <v>29000</v>
      </c>
      <c r="K66" s="90">
        <v>29000</v>
      </c>
      <c r="L66" s="90">
        <v>29000</v>
      </c>
      <c r="M66" s="90">
        <v>29000</v>
      </c>
      <c r="N66" s="90">
        <v>29000</v>
      </c>
      <c r="O66" s="90">
        <v>29000</v>
      </c>
    </row>
    <row r="67" spans="1:15" x14ac:dyDescent="0.3">
      <c r="A67" s="85" t="s">
        <v>147</v>
      </c>
      <c r="B67" s="85"/>
      <c r="C67" s="85"/>
      <c r="D67" s="85"/>
      <c r="E67" s="85"/>
      <c r="F67" s="85"/>
      <c r="G67" s="85"/>
      <c r="H67" s="85"/>
      <c r="I67" s="90">
        <f>I66/2</f>
        <v>14500</v>
      </c>
      <c r="J67" s="85"/>
      <c r="K67" s="85"/>
      <c r="L67" s="85"/>
      <c r="M67" s="85"/>
      <c r="N67" s="85"/>
      <c r="O67" s="90">
        <f>O66/2</f>
        <v>14500</v>
      </c>
    </row>
    <row r="68" spans="1:15" x14ac:dyDescent="0.3">
      <c r="A68" s="85" t="s">
        <v>148</v>
      </c>
      <c r="B68" s="102">
        <v>0.17</v>
      </c>
      <c r="C68" s="90">
        <f t="shared" ref="C68:H68" si="37">C66*$B$9</f>
        <v>64090.000000000007</v>
      </c>
      <c r="D68" s="90">
        <f t="shared" si="37"/>
        <v>4930</v>
      </c>
      <c r="E68" s="90">
        <f t="shared" si="37"/>
        <v>4930</v>
      </c>
      <c r="F68" s="90">
        <f t="shared" si="37"/>
        <v>4930</v>
      </c>
      <c r="G68" s="90">
        <f t="shared" si="37"/>
        <v>4930</v>
      </c>
      <c r="H68" s="90">
        <f t="shared" si="37"/>
        <v>4930</v>
      </c>
      <c r="I68" s="90">
        <f>(I66+I67)*$B$9</f>
        <v>7395.0000000000009</v>
      </c>
      <c r="J68" s="90">
        <f>J66*$B$9</f>
        <v>4930</v>
      </c>
      <c r="K68" s="90">
        <f>K66*$B$9</f>
        <v>4930</v>
      </c>
      <c r="L68" s="90">
        <f>L66*$B$9</f>
        <v>4930</v>
      </c>
      <c r="M68" s="90">
        <f>M66*$B$9</f>
        <v>4930</v>
      </c>
      <c r="N68" s="90">
        <f>N66*$B$9</f>
        <v>4930</v>
      </c>
      <c r="O68" s="90">
        <f>(O66+O67)*$B$9</f>
        <v>7395.0000000000009</v>
      </c>
    </row>
    <row r="69" spans="1:15" x14ac:dyDescent="0.3">
      <c r="A69" s="85" t="s">
        <v>149</v>
      </c>
      <c r="B69" s="102">
        <v>0.06</v>
      </c>
      <c r="C69" s="90">
        <f t="shared" ref="C69:H69" si="38">C66*$B$10</f>
        <v>22620</v>
      </c>
      <c r="D69" s="90">
        <f t="shared" si="38"/>
        <v>1740</v>
      </c>
      <c r="E69" s="90">
        <f t="shared" si="38"/>
        <v>1740</v>
      </c>
      <c r="F69" s="90">
        <f t="shared" si="38"/>
        <v>1740</v>
      </c>
      <c r="G69" s="90">
        <f t="shared" si="38"/>
        <v>1740</v>
      </c>
      <c r="H69" s="90">
        <f t="shared" si="38"/>
        <v>1740</v>
      </c>
      <c r="I69" s="90">
        <f>(I66+I67)*$B$10</f>
        <v>2610</v>
      </c>
      <c r="J69" s="90">
        <f>J66*$B$10</f>
        <v>1740</v>
      </c>
      <c r="K69" s="90">
        <f>K66*$B$10</f>
        <v>1740</v>
      </c>
      <c r="L69" s="90">
        <f>L66*$B$10</f>
        <v>1740</v>
      </c>
      <c r="M69" s="90">
        <f>M66*$B$10</f>
        <v>1740</v>
      </c>
      <c r="N69" s="90">
        <f>N66*$B$10</f>
        <v>1740</v>
      </c>
      <c r="O69" s="90">
        <f>(O66+O67)*$B$10</f>
        <v>2610</v>
      </c>
    </row>
    <row r="70" spans="1:15" x14ac:dyDescent="0.3">
      <c r="C70" s="75" t="s">
        <v>152</v>
      </c>
      <c r="D70" s="106">
        <f>D66-D68-D69</f>
        <v>22330</v>
      </c>
      <c r="E70" s="106">
        <f t="shared" ref="E70" si="39">E66-E68-E69</f>
        <v>22330</v>
      </c>
      <c r="F70" s="106">
        <f t="shared" ref="F70" si="40">F66-F68-F69</f>
        <v>22330</v>
      </c>
      <c r="G70" s="106">
        <f t="shared" ref="G70" si="41">G66-G68-G69</f>
        <v>22330</v>
      </c>
      <c r="H70" s="106">
        <f t="shared" ref="H70" si="42">H66-H68-H69</f>
        <v>22330</v>
      </c>
      <c r="I70" s="106">
        <f>I66+I67-I68-I69</f>
        <v>33495</v>
      </c>
      <c r="J70" s="106">
        <f t="shared" ref="J70:N70" si="43">J66-J68-J69</f>
        <v>22330</v>
      </c>
      <c r="K70" s="106">
        <f t="shared" si="43"/>
        <v>22330</v>
      </c>
      <c r="L70" s="106">
        <f t="shared" si="43"/>
        <v>22330</v>
      </c>
      <c r="M70" s="106">
        <f t="shared" si="43"/>
        <v>22330</v>
      </c>
      <c r="N70" s="106">
        <f t="shared" si="43"/>
        <v>22330</v>
      </c>
      <c r="O70" s="106">
        <f>O66+O67-O68-O69</f>
        <v>33495</v>
      </c>
    </row>
    <row r="73" spans="1:15" x14ac:dyDescent="0.3">
      <c r="A73" s="157" t="s">
        <v>221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</row>
    <row r="76" spans="1:15" x14ac:dyDescent="0.3">
      <c r="A76" s="141" t="s">
        <v>158</v>
      </c>
      <c r="B76" s="141"/>
      <c r="C76" s="141"/>
      <c r="D76" s="212" t="s">
        <v>150</v>
      </c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</row>
    <row r="77" spans="1:15" x14ac:dyDescent="0.3">
      <c r="A77" s="141"/>
      <c r="B77" s="141"/>
      <c r="C77" s="141" t="s">
        <v>153</v>
      </c>
      <c r="D77" s="142">
        <v>1</v>
      </c>
      <c r="E77" s="142">
        <v>2</v>
      </c>
      <c r="F77" s="142">
        <v>3</v>
      </c>
      <c r="G77" s="142">
        <v>4</v>
      </c>
      <c r="H77" s="142">
        <v>5</v>
      </c>
      <c r="I77" s="142">
        <v>6</v>
      </c>
      <c r="J77" s="142">
        <v>7</v>
      </c>
      <c r="K77" s="142">
        <v>8</v>
      </c>
      <c r="L77" s="142">
        <v>9</v>
      </c>
      <c r="M77" s="142">
        <v>10</v>
      </c>
      <c r="N77" s="142">
        <v>11</v>
      </c>
      <c r="O77" s="142">
        <v>12</v>
      </c>
    </row>
    <row r="78" spans="1:15" x14ac:dyDescent="0.3">
      <c r="A78" s="85"/>
      <c r="B78" s="85" t="s">
        <v>151</v>
      </c>
      <c r="C78" s="105">
        <f>SUM(D78:O79)</f>
        <v>416000</v>
      </c>
      <c r="D78" s="90">
        <v>32000</v>
      </c>
      <c r="E78" s="90">
        <v>32000</v>
      </c>
      <c r="F78" s="90">
        <v>32000</v>
      </c>
      <c r="G78" s="90">
        <v>32000</v>
      </c>
      <c r="H78" s="90">
        <v>32000</v>
      </c>
      <c r="I78" s="90">
        <v>32000</v>
      </c>
      <c r="J78" s="90">
        <v>32000</v>
      </c>
      <c r="K78" s="90">
        <v>32000</v>
      </c>
      <c r="L78" s="90">
        <v>32000</v>
      </c>
      <c r="M78" s="90">
        <v>32000</v>
      </c>
      <c r="N78" s="90">
        <v>32000</v>
      </c>
      <c r="O78" s="90">
        <v>32000</v>
      </c>
    </row>
    <row r="79" spans="1:15" x14ac:dyDescent="0.3">
      <c r="A79" s="85" t="s">
        <v>147</v>
      </c>
      <c r="B79" s="85"/>
      <c r="C79" s="85"/>
      <c r="D79" s="85"/>
      <c r="E79" s="85"/>
      <c r="F79" s="85"/>
      <c r="G79" s="85"/>
      <c r="H79" s="85"/>
      <c r="I79" s="90">
        <f>I78/2</f>
        <v>16000</v>
      </c>
      <c r="J79" s="85"/>
      <c r="K79" s="85"/>
      <c r="L79" s="85"/>
      <c r="M79" s="85"/>
      <c r="N79" s="85"/>
      <c r="O79" s="90">
        <f>O78/2</f>
        <v>16000</v>
      </c>
    </row>
    <row r="80" spans="1:15" x14ac:dyDescent="0.3">
      <c r="A80" s="85" t="s">
        <v>148</v>
      </c>
      <c r="B80" s="102">
        <v>0.17</v>
      </c>
      <c r="C80" s="90">
        <f t="shared" ref="C80:H80" si="44">C78*$B$9</f>
        <v>70720</v>
      </c>
      <c r="D80" s="90">
        <f t="shared" si="44"/>
        <v>5440</v>
      </c>
      <c r="E80" s="90">
        <f t="shared" si="44"/>
        <v>5440</v>
      </c>
      <c r="F80" s="90">
        <f t="shared" si="44"/>
        <v>5440</v>
      </c>
      <c r="G80" s="90">
        <f t="shared" si="44"/>
        <v>5440</v>
      </c>
      <c r="H80" s="90">
        <f t="shared" si="44"/>
        <v>5440</v>
      </c>
      <c r="I80" s="90">
        <f>(I78+I79)*$B$9</f>
        <v>8160.0000000000009</v>
      </c>
      <c r="J80" s="90">
        <f>J78*$B$9</f>
        <v>5440</v>
      </c>
      <c r="K80" s="90">
        <f>K78*$B$9</f>
        <v>5440</v>
      </c>
      <c r="L80" s="90">
        <f>L78*$B$9</f>
        <v>5440</v>
      </c>
      <c r="M80" s="90">
        <f>M78*$B$9</f>
        <v>5440</v>
      </c>
      <c r="N80" s="90">
        <f>N78*$B$9</f>
        <v>5440</v>
      </c>
      <c r="O80" s="90">
        <f>(O78+O79)*$B$9</f>
        <v>8160.0000000000009</v>
      </c>
    </row>
    <row r="81" spans="1:15" x14ac:dyDescent="0.3">
      <c r="A81" s="85" t="s">
        <v>149</v>
      </c>
      <c r="B81" s="102">
        <v>0.06</v>
      </c>
      <c r="C81" s="90">
        <f t="shared" ref="C81:H81" si="45">C78*$B$10</f>
        <v>24960</v>
      </c>
      <c r="D81" s="90">
        <f t="shared" si="45"/>
        <v>1920</v>
      </c>
      <c r="E81" s="90">
        <f t="shared" si="45"/>
        <v>1920</v>
      </c>
      <c r="F81" s="90">
        <f t="shared" si="45"/>
        <v>1920</v>
      </c>
      <c r="G81" s="90">
        <f t="shared" si="45"/>
        <v>1920</v>
      </c>
      <c r="H81" s="90">
        <f t="shared" si="45"/>
        <v>1920</v>
      </c>
      <c r="I81" s="90">
        <f>(I78+I79)*$B$10</f>
        <v>2880</v>
      </c>
      <c r="J81" s="90">
        <f>J78*$B$10</f>
        <v>1920</v>
      </c>
      <c r="K81" s="90">
        <f>K78*$B$10</f>
        <v>1920</v>
      </c>
      <c r="L81" s="90">
        <f>L78*$B$10</f>
        <v>1920</v>
      </c>
      <c r="M81" s="90">
        <f>M78*$B$10</f>
        <v>1920</v>
      </c>
      <c r="N81" s="90">
        <f>N78*$B$10</f>
        <v>1920</v>
      </c>
      <c r="O81" s="90">
        <f>(O78+O79)*$B$10</f>
        <v>2880</v>
      </c>
    </row>
    <row r="82" spans="1:15" x14ac:dyDescent="0.3">
      <c r="C82" s="75" t="s">
        <v>152</v>
      </c>
      <c r="D82" s="106">
        <f>D78-D80-D81</f>
        <v>24640</v>
      </c>
      <c r="E82" s="106">
        <f t="shared" ref="E82" si="46">E78-E80-E81</f>
        <v>24640</v>
      </c>
      <c r="F82" s="106">
        <f t="shared" ref="F82" si="47">F78-F80-F81</f>
        <v>24640</v>
      </c>
      <c r="G82" s="106">
        <f t="shared" ref="G82" si="48">G78-G80-G81</f>
        <v>24640</v>
      </c>
      <c r="H82" s="106">
        <f t="shared" ref="H82" si="49">H78-H80-H81</f>
        <v>24640</v>
      </c>
      <c r="I82" s="106">
        <f>I78+I79-I80-I81</f>
        <v>36960</v>
      </c>
      <c r="J82" s="106">
        <f t="shared" ref="J82:N82" si="50">J78-J80-J81</f>
        <v>24640</v>
      </c>
      <c r="K82" s="106">
        <f t="shared" si="50"/>
        <v>24640</v>
      </c>
      <c r="L82" s="106">
        <f t="shared" si="50"/>
        <v>24640</v>
      </c>
      <c r="M82" s="106">
        <f t="shared" si="50"/>
        <v>24640</v>
      </c>
      <c r="N82" s="106">
        <f t="shared" si="50"/>
        <v>24640</v>
      </c>
      <c r="O82" s="106">
        <f>O78+O79-O80-O81</f>
        <v>36960</v>
      </c>
    </row>
    <row r="86" spans="1:15" x14ac:dyDescent="0.3">
      <c r="A86" s="156" t="s">
        <v>159</v>
      </c>
      <c r="B86" s="141"/>
      <c r="C86" s="141"/>
      <c r="D86" s="212" t="s">
        <v>150</v>
      </c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</row>
    <row r="87" spans="1:15" x14ac:dyDescent="0.3">
      <c r="A87" s="141"/>
      <c r="B87" s="141"/>
      <c r="C87" s="141" t="s">
        <v>153</v>
      </c>
      <c r="D87" s="142">
        <v>1</v>
      </c>
      <c r="E87" s="142">
        <v>2</v>
      </c>
      <c r="F87" s="142">
        <v>3</v>
      </c>
      <c r="G87" s="142">
        <v>4</v>
      </c>
      <c r="H87" s="142">
        <v>5</v>
      </c>
      <c r="I87" s="142">
        <v>6</v>
      </c>
      <c r="J87" s="142">
        <v>7</v>
      </c>
      <c r="K87" s="142">
        <v>8</v>
      </c>
      <c r="L87" s="142">
        <v>9</v>
      </c>
      <c r="M87" s="142">
        <v>10</v>
      </c>
      <c r="N87" s="142">
        <v>11</v>
      </c>
      <c r="O87" s="142">
        <v>12</v>
      </c>
    </row>
    <row r="88" spans="1:15" x14ac:dyDescent="0.3">
      <c r="A88" s="85"/>
      <c r="B88" s="85" t="s">
        <v>151</v>
      </c>
      <c r="C88" s="105">
        <f>SUM(D88:O89)</f>
        <v>403000</v>
      </c>
      <c r="D88" s="90">
        <v>31000</v>
      </c>
      <c r="E88" s="90">
        <v>31000</v>
      </c>
      <c r="F88" s="90">
        <v>31000</v>
      </c>
      <c r="G88" s="90">
        <v>31000</v>
      </c>
      <c r="H88" s="90">
        <v>31000</v>
      </c>
      <c r="I88" s="90">
        <v>31000</v>
      </c>
      <c r="J88" s="90">
        <v>31000</v>
      </c>
      <c r="K88" s="90">
        <v>31000</v>
      </c>
      <c r="L88" s="90">
        <v>31000</v>
      </c>
      <c r="M88" s="90">
        <v>31000</v>
      </c>
      <c r="N88" s="90">
        <v>31000</v>
      </c>
      <c r="O88" s="90">
        <v>31000</v>
      </c>
    </row>
    <row r="89" spans="1:15" x14ac:dyDescent="0.3">
      <c r="A89" s="85" t="s">
        <v>147</v>
      </c>
      <c r="B89" s="85"/>
      <c r="C89" s="85"/>
      <c r="D89" s="85"/>
      <c r="E89" s="85"/>
      <c r="F89" s="85"/>
      <c r="G89" s="85"/>
      <c r="H89" s="85"/>
      <c r="I89" s="90">
        <f>I88/2</f>
        <v>15500</v>
      </c>
      <c r="J89" s="85"/>
      <c r="K89" s="85"/>
      <c r="L89" s="85"/>
      <c r="M89" s="85"/>
      <c r="N89" s="85"/>
      <c r="O89" s="90">
        <f>O88/2</f>
        <v>15500</v>
      </c>
    </row>
    <row r="90" spans="1:15" x14ac:dyDescent="0.3">
      <c r="A90" s="85" t="s">
        <v>148</v>
      </c>
      <c r="B90" s="102">
        <v>0.17</v>
      </c>
      <c r="C90" s="90">
        <f t="shared" ref="C90:H90" si="51">C88*$B$9</f>
        <v>68510</v>
      </c>
      <c r="D90" s="90">
        <f t="shared" si="51"/>
        <v>5270</v>
      </c>
      <c r="E90" s="90">
        <f t="shared" si="51"/>
        <v>5270</v>
      </c>
      <c r="F90" s="90">
        <f t="shared" si="51"/>
        <v>5270</v>
      </c>
      <c r="G90" s="90">
        <f t="shared" si="51"/>
        <v>5270</v>
      </c>
      <c r="H90" s="90">
        <f t="shared" si="51"/>
        <v>5270</v>
      </c>
      <c r="I90" s="90">
        <f>(I88+I89)*$B$9</f>
        <v>7905.0000000000009</v>
      </c>
      <c r="J90" s="90">
        <f>J88*$B$9</f>
        <v>5270</v>
      </c>
      <c r="K90" s="90">
        <f>K88*$B$9</f>
        <v>5270</v>
      </c>
      <c r="L90" s="90">
        <f>L88*$B$9</f>
        <v>5270</v>
      </c>
      <c r="M90" s="90">
        <f>M88*$B$9</f>
        <v>5270</v>
      </c>
      <c r="N90" s="90">
        <f>N88*$B$9</f>
        <v>5270</v>
      </c>
      <c r="O90" s="90">
        <f>(O88+O89)*$B$9</f>
        <v>7905.0000000000009</v>
      </c>
    </row>
    <row r="91" spans="1:15" x14ac:dyDescent="0.3">
      <c r="A91" s="85" t="s">
        <v>149</v>
      </c>
      <c r="B91" s="102">
        <v>0.06</v>
      </c>
      <c r="C91" s="90">
        <f t="shared" ref="C91:H91" si="52">C88*$B$10</f>
        <v>24180</v>
      </c>
      <c r="D91" s="90">
        <f t="shared" si="52"/>
        <v>1860</v>
      </c>
      <c r="E91" s="90">
        <f t="shared" si="52"/>
        <v>1860</v>
      </c>
      <c r="F91" s="90">
        <f t="shared" si="52"/>
        <v>1860</v>
      </c>
      <c r="G91" s="90">
        <f t="shared" si="52"/>
        <v>1860</v>
      </c>
      <c r="H91" s="90">
        <f t="shared" si="52"/>
        <v>1860</v>
      </c>
      <c r="I91" s="90">
        <f>(I88+I89)*$B$10</f>
        <v>2790</v>
      </c>
      <c r="J91" s="90">
        <f>J88*$B$10</f>
        <v>1860</v>
      </c>
      <c r="K91" s="90">
        <f>K88*$B$10</f>
        <v>1860</v>
      </c>
      <c r="L91" s="90">
        <f>L88*$B$10</f>
        <v>1860</v>
      </c>
      <c r="M91" s="90">
        <f>M88*$B$10</f>
        <v>1860</v>
      </c>
      <c r="N91" s="90">
        <f>N88*$B$10</f>
        <v>1860</v>
      </c>
      <c r="O91" s="90">
        <f>(O88+O89)*$B$10</f>
        <v>2790</v>
      </c>
    </row>
    <row r="92" spans="1:15" x14ac:dyDescent="0.3">
      <c r="C92" s="75" t="s">
        <v>152</v>
      </c>
      <c r="D92" s="106">
        <f>D88-D90-D91</f>
        <v>23870</v>
      </c>
      <c r="E92" s="106">
        <f t="shared" ref="E92" si="53">E88-E90-E91</f>
        <v>23870</v>
      </c>
      <c r="F92" s="106">
        <f t="shared" ref="F92" si="54">F88-F90-F91</f>
        <v>23870</v>
      </c>
      <c r="G92" s="106">
        <f t="shared" ref="G92" si="55">G88-G90-G91</f>
        <v>23870</v>
      </c>
      <c r="H92" s="106">
        <f t="shared" ref="H92" si="56">H88-H90-H91</f>
        <v>23870</v>
      </c>
      <c r="I92" s="106">
        <f>I88+I89-I90-I91</f>
        <v>35805</v>
      </c>
      <c r="J92" s="106">
        <f t="shared" ref="J92:N92" si="57">J88-J90-J91</f>
        <v>23870</v>
      </c>
      <c r="K92" s="106">
        <f t="shared" si="57"/>
        <v>23870</v>
      </c>
      <c r="L92" s="106">
        <f t="shared" si="57"/>
        <v>23870</v>
      </c>
      <c r="M92" s="106">
        <f t="shared" si="57"/>
        <v>23870</v>
      </c>
      <c r="N92" s="106">
        <f t="shared" si="57"/>
        <v>23870</v>
      </c>
      <c r="O92" s="106">
        <f>O88+O89-O90-O91</f>
        <v>35805</v>
      </c>
    </row>
    <row r="98" spans="3:6" x14ac:dyDescent="0.3">
      <c r="C98" s="142"/>
      <c r="D98" s="155" t="s">
        <v>36</v>
      </c>
      <c r="E98" s="155" t="s">
        <v>37</v>
      </c>
      <c r="F98" s="155" t="s">
        <v>38</v>
      </c>
    </row>
    <row r="99" spans="3:6" x14ac:dyDescent="0.3">
      <c r="C99" s="213" t="s">
        <v>154</v>
      </c>
      <c r="D99" s="90">
        <f>+C26+C17+C7</f>
        <v>1560000</v>
      </c>
      <c r="E99" s="90">
        <f>+D99+C46+C56+C66</f>
        <v>2691000</v>
      </c>
      <c r="F99" s="90">
        <f>+E99+C78+C88</f>
        <v>3510000</v>
      </c>
    </row>
    <row r="100" spans="3:6" x14ac:dyDescent="0.3">
      <c r="C100" s="214"/>
      <c r="D100" s="85"/>
      <c r="E100" s="85"/>
      <c r="F100" s="85"/>
    </row>
    <row r="101" spans="3:6" x14ac:dyDescent="0.3">
      <c r="C101" s="214"/>
      <c r="D101" s="85" t="s">
        <v>4</v>
      </c>
      <c r="E101" s="85" t="s">
        <v>4</v>
      </c>
      <c r="F101" s="85" t="s">
        <v>4</v>
      </c>
    </row>
    <row r="102" spans="3:6" x14ac:dyDescent="0.3">
      <c r="C102" s="215"/>
      <c r="D102" s="90">
        <f>D99/12</f>
        <v>130000</v>
      </c>
      <c r="E102" s="90">
        <f>E99/12</f>
        <v>224250</v>
      </c>
      <c r="F102" s="90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workbookViewId="0">
      <selection activeCell="C20" sqref="C20"/>
    </sheetView>
  </sheetViews>
  <sheetFormatPr defaultRowHeight="15" x14ac:dyDescent="0.25"/>
  <cols>
    <col min="1" max="1" width="25.28515625" customWidth="1"/>
    <col min="2" max="2" width="34.28515625" customWidth="1"/>
    <col min="3" max="3" width="23.140625" customWidth="1"/>
    <col min="4" max="4" width="13.7109375" bestFit="1" customWidth="1"/>
    <col min="9" max="9" width="12.28515625" bestFit="1" customWidth="1"/>
    <col min="11" max="11" width="8.140625" bestFit="1" customWidth="1"/>
    <col min="12" max="12" width="6.5703125" bestFit="1" customWidth="1"/>
    <col min="13" max="13" width="7" customWidth="1"/>
  </cols>
  <sheetData>
    <row r="1" spans="1:13" x14ac:dyDescent="0.25">
      <c r="A1" s="170" t="s">
        <v>177</v>
      </c>
      <c r="B1" s="170"/>
      <c r="C1" s="170"/>
      <c r="D1" s="170"/>
      <c r="E1" s="170"/>
      <c r="F1" s="170"/>
    </row>
    <row r="2" spans="1:13" x14ac:dyDescent="0.25">
      <c r="A2" s="170" t="s">
        <v>178</v>
      </c>
      <c r="B2" s="170" t="s">
        <v>179</v>
      </c>
      <c r="C2" s="170" t="s">
        <v>180</v>
      </c>
      <c r="D2" s="170" t="s">
        <v>181</v>
      </c>
      <c r="E2" s="170" t="s">
        <v>182</v>
      </c>
      <c r="F2" s="170" t="s">
        <v>183</v>
      </c>
    </row>
    <row r="3" spans="1:13" ht="45" x14ac:dyDescent="0.25">
      <c r="A3" s="169" t="s">
        <v>188</v>
      </c>
      <c r="B3" s="169" t="s">
        <v>189</v>
      </c>
      <c r="C3" s="169" t="s">
        <v>194</v>
      </c>
      <c r="D3" s="169" t="s">
        <v>199</v>
      </c>
      <c r="E3" s="169" t="s">
        <v>201</v>
      </c>
      <c r="F3" s="169">
        <v>6</v>
      </c>
      <c r="I3" s="172" t="s">
        <v>202</v>
      </c>
      <c r="J3" s="172" t="s">
        <v>201</v>
      </c>
      <c r="K3" s="174">
        <v>4</v>
      </c>
      <c r="L3" s="171">
        <v>2</v>
      </c>
      <c r="M3" s="171">
        <v>1</v>
      </c>
    </row>
    <row r="4" spans="1:13" ht="30" x14ac:dyDescent="0.25">
      <c r="A4" s="169" t="s">
        <v>184</v>
      </c>
      <c r="B4" s="169" t="s">
        <v>190</v>
      </c>
      <c r="C4" s="169" t="s">
        <v>195</v>
      </c>
      <c r="D4" s="169" t="s">
        <v>200</v>
      </c>
      <c r="E4" s="169" t="s">
        <v>201</v>
      </c>
      <c r="F4" s="169">
        <v>7</v>
      </c>
      <c r="I4" s="172"/>
      <c r="J4" s="172" t="s">
        <v>200</v>
      </c>
      <c r="K4" s="173">
        <v>7</v>
      </c>
      <c r="L4" s="174">
        <v>5</v>
      </c>
      <c r="M4" s="171">
        <v>3</v>
      </c>
    </row>
    <row r="5" spans="1:13" ht="30" x14ac:dyDescent="0.25">
      <c r="A5" s="169" t="s">
        <v>185</v>
      </c>
      <c r="B5" s="169" t="s">
        <v>191</v>
      </c>
      <c r="C5" s="169" t="s">
        <v>196</v>
      </c>
      <c r="D5" s="169" t="s">
        <v>201</v>
      </c>
      <c r="E5" s="169" t="s">
        <v>199</v>
      </c>
      <c r="F5" s="169">
        <v>4</v>
      </c>
      <c r="I5" s="172"/>
      <c r="J5" s="172" t="s">
        <v>199</v>
      </c>
      <c r="K5" s="173">
        <v>9</v>
      </c>
      <c r="L5" s="173">
        <v>8</v>
      </c>
      <c r="M5" s="174">
        <v>6</v>
      </c>
    </row>
    <row r="6" spans="1:13" ht="60" x14ac:dyDescent="0.25">
      <c r="A6" s="169" t="s">
        <v>186</v>
      </c>
      <c r="B6" s="169" t="s">
        <v>192</v>
      </c>
      <c r="C6" s="169" t="s">
        <v>198</v>
      </c>
      <c r="D6" s="169" t="s">
        <v>200</v>
      </c>
      <c r="E6" s="169" t="s">
        <v>199</v>
      </c>
      <c r="F6" s="169">
        <v>7</v>
      </c>
      <c r="K6" s="172" t="s">
        <v>199</v>
      </c>
      <c r="L6" s="172" t="s">
        <v>200</v>
      </c>
      <c r="M6" s="172" t="s">
        <v>201</v>
      </c>
    </row>
    <row r="7" spans="1:13" ht="30" x14ac:dyDescent="0.25">
      <c r="A7" s="169" t="s">
        <v>187</v>
      </c>
      <c r="B7" s="169" t="s">
        <v>193</v>
      </c>
      <c r="C7" s="169" t="s">
        <v>197</v>
      </c>
      <c r="D7" s="169" t="s">
        <v>200</v>
      </c>
      <c r="E7" s="169" t="s">
        <v>200</v>
      </c>
      <c r="F7" s="169">
        <v>5</v>
      </c>
      <c r="K7" s="172" t="s">
        <v>182</v>
      </c>
      <c r="L7" s="172"/>
      <c r="M7" s="172"/>
    </row>
    <row r="10" spans="1:13" x14ac:dyDescent="0.25">
      <c r="A10" s="170" t="s">
        <v>213</v>
      </c>
      <c r="B10" s="170" t="s">
        <v>214</v>
      </c>
    </row>
    <row r="11" spans="1:13" x14ac:dyDescent="0.25">
      <c r="A11" s="177" t="s">
        <v>207</v>
      </c>
      <c r="B11" s="179">
        <f>165133.51</f>
        <v>165133.51</v>
      </c>
    </row>
    <row r="12" spans="1:13" x14ac:dyDescent="0.25">
      <c r="A12" s="177" t="s">
        <v>208</v>
      </c>
      <c r="B12" s="179">
        <f>165133.51</f>
        <v>165133.51</v>
      </c>
    </row>
    <row r="13" spans="1:13" x14ac:dyDescent="0.25">
      <c r="A13" s="177" t="s">
        <v>161</v>
      </c>
      <c r="B13" s="179">
        <f>165133.51</f>
        <v>165133.51</v>
      </c>
    </row>
    <row r="14" spans="1:13" x14ac:dyDescent="0.25">
      <c r="A14" s="177" t="s">
        <v>206</v>
      </c>
      <c r="B14" s="179">
        <v>91350.14</v>
      </c>
    </row>
    <row r="15" spans="1:13" x14ac:dyDescent="0.25">
      <c r="A15" s="177" t="s">
        <v>219</v>
      </c>
      <c r="B15" s="179">
        <f>64260.13</f>
        <v>64260.13</v>
      </c>
    </row>
    <row r="16" spans="1:13" x14ac:dyDescent="0.25">
      <c r="A16" s="177" t="s">
        <v>209</v>
      </c>
      <c r="B16" s="179">
        <f>85260.13</f>
        <v>85260.13</v>
      </c>
    </row>
    <row r="17" spans="1:3" x14ac:dyDescent="0.25">
      <c r="A17" s="177" t="s">
        <v>210</v>
      </c>
      <c r="B17" s="179">
        <v>88305.13</v>
      </c>
    </row>
    <row r="18" spans="1:3" x14ac:dyDescent="0.25">
      <c r="A18" s="177" t="s">
        <v>212</v>
      </c>
      <c r="B18" s="179">
        <v>62773.48</v>
      </c>
    </row>
    <row r="19" spans="1:3" x14ac:dyDescent="0.25">
      <c r="A19" s="177" t="s">
        <v>211</v>
      </c>
      <c r="B19" s="179">
        <v>60811.81</v>
      </c>
    </row>
    <row r="20" spans="1:3" x14ac:dyDescent="0.25">
      <c r="A20" s="177" t="s">
        <v>9</v>
      </c>
      <c r="B20" s="177">
        <f>SUM(B11:B19)</f>
        <v>948161.35000000009</v>
      </c>
      <c r="C20">
        <f>Riesgo!B20-Inversion!F32</f>
        <v>859261.35000000009</v>
      </c>
    </row>
    <row r="22" spans="1:3" x14ac:dyDescent="0.25">
      <c r="B22" s="17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  <vt:lpstr>Riesgo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2017-12-11T13:45:15Z</dcterms:modified>
</cp:coreProperties>
</file>